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en_skoroszyt" defaultThemeVersion="124226"/>
  <mc:AlternateContent xmlns:mc="http://schemas.openxmlformats.org/markup-compatibility/2006">
    <mc:Choice Requires="x15">
      <x15ac:absPath xmlns:x15ac="http://schemas.microsoft.com/office/spreadsheetml/2010/11/ac" url="D:\Ustawienia\RTulowiecki\Documents\PLANY_ROZWOJU\GUIDELINES&amp;FORMS\OSD_BIG\RAPORT\2021\"/>
    </mc:Choice>
  </mc:AlternateContent>
  <xr:revisionPtr revIDLastSave="0" documentId="13_ncr:1_{6B71A685-B2E1-45BB-ACFA-15A19E898579}" xr6:coauthVersionLast="46" xr6:coauthVersionMax="46" xr10:uidLastSave="{00000000-0000-0000-0000-000000000000}"/>
  <bookViews>
    <workbookView xWindow="-108" yWindow="-108" windowWidth="23256" windowHeight="12576" tabRatio="711" activeTab="1" xr2:uid="{00000000-000D-0000-FFFF-FFFF00000000}"/>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7" sheetId="146" r:id="rId12"/>
    <sheet name="Tab.G7E" sheetId="171" r:id="rId13"/>
    <sheet name="Tab.G8" sheetId="147" r:id="rId14"/>
    <sheet name="Tab.G8E" sheetId="170" r:id="rId15"/>
    <sheet name="Tab.G9" sheetId="148" r:id="rId16"/>
    <sheet name="Tab.G9E" sheetId="172" r:id="rId17"/>
    <sheet name="Tab.G10" sheetId="149" r:id="rId18"/>
    <sheet name="Tab.G10E" sheetId="173" r:id="rId19"/>
    <sheet name="Tab.G11" sheetId="150" r:id="rId20"/>
    <sheet name="Tab.G11E" sheetId="174" r:id="rId21"/>
    <sheet name="Tab.G12" sheetId="152" r:id="rId22"/>
    <sheet name="Tab.G13" sheetId="160" r:id="rId23"/>
    <sheet name="Tab.G13E" sheetId="175" r:id="rId24"/>
    <sheet name="Tab.G14" sheetId="156" r:id="rId25"/>
    <sheet name="Tab.G14E" sheetId="176" r:id="rId26"/>
    <sheet name="Tab.G15" sheetId="157" r:id="rId27"/>
    <sheet name="Tab.G16" sheetId="158" r:id="rId28"/>
    <sheet name="Tab.G16E" sheetId="177" r:id="rId29"/>
    <sheet name="Tab.G17" sheetId="161" r:id="rId30"/>
    <sheet name="Tab.G18" sheetId="162" r:id="rId31"/>
    <sheet name="Tab.G19.1-2" sheetId="163" r:id="rId32"/>
    <sheet name="Tab.G20" sheetId="166" r:id="rId33"/>
    <sheet name="Tab.G21" sheetId="164" r:id="rId34"/>
  </sheets>
  <definedNames>
    <definedName name="_xlnm._FilterDatabase" localSheetId="17" hidden="1">Tab.G10!$I$12:$I$42</definedName>
    <definedName name="_xlnm._FilterDatabase" localSheetId="18" hidden="1">Tab.G10E!$I$12:$I$42</definedName>
    <definedName name="_xlnm._FilterDatabase" localSheetId="19" hidden="1">Tab.G11!$I$12:$I$42</definedName>
    <definedName name="_xlnm._FilterDatabase" localSheetId="20" hidden="1">Tab.G11E!$I$12:$I$42</definedName>
    <definedName name="_xlnm._FilterDatabase" localSheetId="21" hidden="1">Tab.G12!$I$12:$I$42</definedName>
    <definedName name="_xlnm._FilterDatabase" localSheetId="22" hidden="1">Tab.G13!$I$12:$I$42</definedName>
    <definedName name="_xlnm._FilterDatabase" localSheetId="23" hidden="1">Tab.G13E!$I$12:$I$42</definedName>
    <definedName name="_xlnm._FilterDatabase" localSheetId="11" hidden="1">Tab.G7!$I$12:$I$42</definedName>
    <definedName name="_xlnm._FilterDatabase" localSheetId="12" hidden="1">Tab.G7E!$I$12:$I$42</definedName>
    <definedName name="_xlnm._FilterDatabase" localSheetId="13" hidden="1">Tab.G8!$I$12:$I$42</definedName>
    <definedName name="_xlnm._FilterDatabase" localSheetId="14" hidden="1">Tab.G8E!$I$12:$I$42</definedName>
    <definedName name="_xlnm._FilterDatabase" localSheetId="15" hidden="1">Tab.G9!$I$12:$I$42</definedName>
    <definedName name="_xlnm._FilterDatabase" localSheetId="16" hidden="1">Tab.G9E!$I$12:$I$42</definedName>
    <definedName name="CeleInwestycjePozostałe" localSheetId="17">Tab.G10!$N$13:$N$16</definedName>
    <definedName name="CeleInwestycjePozostałe" localSheetId="18">Tab.G10E!$N$13:$N$16</definedName>
    <definedName name="CeleInwestycjePozostałe" localSheetId="19">Tab.G11!$N$13:$N$16</definedName>
    <definedName name="CeleInwestycjePozostałe" localSheetId="20">Tab.G11E!$N$13:$N$16</definedName>
    <definedName name="CeleInwestycjePozostałe" localSheetId="21">Tab.G12!$N$13:$N$16</definedName>
    <definedName name="CeleInwestycjePozostałe" localSheetId="22">Tab.G13!$N$13:$N$16</definedName>
    <definedName name="CeleInwestycjePozostałe" localSheetId="23">Tab.G13E!$N$13:$N$16</definedName>
    <definedName name="CeleInwestycjePozostałe" localSheetId="11">Tab.G7!$N$13:$N$16</definedName>
    <definedName name="CeleInwestycjePozostałe" localSheetId="12">Tab.G7E!$N$13:$N$16</definedName>
    <definedName name="CeleInwestycjePozostałe" localSheetId="13">Tab.G8!$N$13:$N$16</definedName>
    <definedName name="CeleInwestycjePozostałe" localSheetId="14">Tab.G8E!$N$13:$N$16</definedName>
    <definedName name="CeleInwestycjePozostałe" localSheetId="15">Tab.G9!$N$13:$N$16</definedName>
    <definedName name="CeleInwestycjePozostałe" localSheetId="16">Tab.G9E!$N$13:$N$16</definedName>
    <definedName name="_xlnm.Print_Area" localSheetId="1">Spis!$A$1:$B$56</definedName>
    <definedName name="_xlnm.Print_Area" localSheetId="2">'Tab.G1.1-4'!$B$3:$I$57</definedName>
    <definedName name="_xlnm.Print_Area" localSheetId="17">Tab.G10!$A$3:$O$613</definedName>
    <definedName name="_xlnm.Print_Area" localSheetId="18">Tab.G10E!$A$3:$O$613</definedName>
    <definedName name="_xlnm.Print_Area" localSheetId="19">Tab.G11!$A$3:$O$613</definedName>
    <definedName name="_xlnm.Print_Area" localSheetId="20">Tab.G11E!$A$3:$O$613</definedName>
    <definedName name="_xlnm.Print_Area" localSheetId="21">Tab.G12!$A$3:$O$613</definedName>
    <definedName name="_xlnm.Print_Area" localSheetId="22">Tab.G13!$A$3:$O$613</definedName>
    <definedName name="_xlnm.Print_Area" localSheetId="23">Tab.G13E!$A$3:$O$613</definedName>
    <definedName name="_xlnm.Print_Area" localSheetId="24">Tab.G14!$A$2:$K$217</definedName>
    <definedName name="_xlnm.Print_Area" localSheetId="25">Tab.G14E!$A$2:$K$217</definedName>
    <definedName name="_xlnm.Print_Area" localSheetId="26">Tab.G15!$A$2:$K$217</definedName>
    <definedName name="_xlnm.Print_Area" localSheetId="27">Tab.G16!$A$2:$K$217</definedName>
    <definedName name="_xlnm.Print_Area" localSheetId="28">Tab.G16E!$A$2:$K$217</definedName>
    <definedName name="_xlnm.Print_Area" localSheetId="29">Tab.G17!$A$2:$M$74</definedName>
    <definedName name="_xlnm.Print_Area" localSheetId="30">Tab.G18!$B$5:$G$32</definedName>
    <definedName name="_xlnm.Print_Area" localSheetId="31">'Tab.G19.1-2'!$A$2:$H$39</definedName>
    <definedName name="_xlnm.Print_Area" localSheetId="33">Tab.G21!$A$3:$H$31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1">Tab.G7!$A$2:$O$613</definedName>
    <definedName name="_xlnm.Print_Area" localSheetId="12">Tab.G7E!$A$2:$O$613</definedName>
    <definedName name="_xlnm.Print_Area" localSheetId="13">Tab.G8!$A$3:$O$613</definedName>
    <definedName name="_xlnm.Print_Area" localSheetId="14">Tab.G8E!$A$3:$O$613</definedName>
    <definedName name="_xlnm.Print_Area" localSheetId="15">Tab.G9!$A$2:$O$613</definedName>
    <definedName name="_xlnm.Print_Area" localSheetId="16">Tab.G9E!$A$2:$O$613</definedName>
    <definedName name="_xlnm.Print_Area" localSheetId="0">Wstęp!$A$2:$L$25</definedName>
    <definedName name="Rok_ZPR">2020</definedName>
    <definedName name="_xlnm.Print_Titles" localSheetId="17">Tab.G10!$8:$11</definedName>
    <definedName name="_xlnm.Print_Titles" localSheetId="18">Tab.G10E!$8:$11</definedName>
    <definedName name="_xlnm.Print_Titles" localSheetId="19">Tab.G11!$8:$11</definedName>
    <definedName name="_xlnm.Print_Titles" localSheetId="20">Tab.G11E!$8:$11</definedName>
    <definedName name="_xlnm.Print_Titles" localSheetId="21">Tab.G12!$8:$11</definedName>
    <definedName name="_xlnm.Print_Titles" localSheetId="22">Tab.G13!$8:$11</definedName>
    <definedName name="_xlnm.Print_Titles" localSheetId="23">Tab.G13E!$8:$11</definedName>
    <definedName name="_xlnm.Print_Titles" localSheetId="11">Tab.G7!$8:$11</definedName>
    <definedName name="_xlnm.Print_Titles" localSheetId="12">Tab.G7E!$8:$11</definedName>
    <definedName name="_xlnm.Print_Titles" localSheetId="13">Tab.G8!$8:$11</definedName>
    <definedName name="_xlnm.Print_Titles" localSheetId="14">Tab.G8E!$8:$11</definedName>
    <definedName name="_xlnm.Print_Titles" localSheetId="15">Tab.G9!$8:$11</definedName>
    <definedName name="_xlnm.Print_Titles" localSheetId="16">Tab.G9E!$8:$11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0" i="50" l="1"/>
  <c r="C79" i="50"/>
  <c r="C78" i="50"/>
  <c r="C77" i="50"/>
  <c r="C76" i="50"/>
  <c r="C75" i="50"/>
  <c r="D11" i="50" l="1"/>
  <c r="C23" i="50"/>
  <c r="C15" i="50"/>
  <c r="E7" i="161" l="1"/>
  <c r="B53" i="54" l="1"/>
  <c r="B50" i="54"/>
  <c r="B48" i="54"/>
  <c r="B45" i="54"/>
  <c r="B43" i="54"/>
  <c r="B41" i="54"/>
  <c r="B39" i="54"/>
  <c r="B37" i="54"/>
  <c r="B34" i="54"/>
  <c r="B33" i="54"/>
  <c r="B32" i="54"/>
  <c r="B25" i="54"/>
  <c r="B24" i="54"/>
  <c r="B23" i="54"/>
  <c r="B22" i="54"/>
  <c r="B21" i="54"/>
  <c r="B15" i="54"/>
  <c r="B12" i="54"/>
  <c r="B11" i="54"/>
  <c r="B10" i="54"/>
  <c r="G213" i="177" l="1"/>
  <c r="G10" i="177"/>
  <c r="G9" i="177"/>
  <c r="F249" i="176"/>
  <c r="G213" i="176"/>
  <c r="G10" i="176"/>
  <c r="G9" i="176"/>
  <c r="E8" i="176"/>
  <c r="D8" i="176"/>
  <c r="C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5" i="175"/>
  <c r="F52" i="175"/>
  <c r="F49" i="175"/>
  <c r="F46" i="175"/>
  <c r="F43" i="175"/>
  <c r="F40" i="175"/>
  <c r="F37" i="175"/>
  <c r="F34" i="175"/>
  <c r="F31" i="175"/>
  <c r="F28" i="175"/>
  <c r="F25" i="175"/>
  <c r="F58" i="175" s="1"/>
  <c r="F22" i="175"/>
  <c r="F19" i="175"/>
  <c r="F16" i="175"/>
  <c r="F13" i="175"/>
  <c r="J10" i="175"/>
  <c r="J9"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8" i="174"/>
  <c r="F55" i="174"/>
  <c r="F52" i="174"/>
  <c r="F49" i="174"/>
  <c r="F46" i="174"/>
  <c r="F43" i="174"/>
  <c r="F40" i="174"/>
  <c r="F37" i="174"/>
  <c r="F34" i="174"/>
  <c r="F31" i="174"/>
  <c r="F28" i="174"/>
  <c r="F25" i="174"/>
  <c r="F22" i="174"/>
  <c r="F19" i="174"/>
  <c r="F16" i="174"/>
  <c r="F13" i="174"/>
  <c r="J10" i="174"/>
  <c r="J9"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J10" i="173"/>
  <c r="J9" i="173"/>
  <c r="J613" i="172"/>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J10" i="172"/>
  <c r="J9"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J10" i="171"/>
  <c r="J9" i="171"/>
  <c r="H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J10" i="170"/>
  <c r="J9" i="170"/>
  <c r="E135" i="169"/>
  <c r="E127" i="169"/>
  <c r="E124" i="169"/>
  <c r="E118" i="169" s="1"/>
  <c r="E119" i="169"/>
  <c r="E112" i="169"/>
  <c r="E103" i="169" s="1"/>
  <c r="E108" i="169"/>
  <c r="E104" i="169"/>
  <c r="E97" i="169"/>
  <c r="E92" i="169"/>
  <c r="E87" i="169"/>
  <c r="E86" i="169"/>
  <c r="E81" i="169"/>
  <c r="E76" i="169"/>
  <c r="E75" i="169" s="1"/>
  <c r="E74" i="169" s="1"/>
  <c r="E72" i="169"/>
  <c r="D67" i="169"/>
  <c r="D66" i="169"/>
  <c r="D65" i="169"/>
  <c r="E64" i="169"/>
  <c r="D64" i="169"/>
  <c r="D63" i="169"/>
  <c r="D62" i="169"/>
  <c r="E61" i="169"/>
  <c r="D61" i="169"/>
  <c r="D60" i="169"/>
  <c r="D59" i="169"/>
  <c r="D58" i="169"/>
  <c r="D57" i="169"/>
  <c r="E56" i="169"/>
  <c r="E55" i="169" s="1"/>
  <c r="D56" i="169"/>
  <c r="D55" i="169"/>
  <c r="D54" i="169"/>
  <c r="D53" i="169"/>
  <c r="D52" i="169"/>
  <c r="D51" i="169"/>
  <c r="D50" i="169"/>
  <c r="E49" i="169"/>
  <c r="D49" i="169"/>
  <c r="D48" i="169"/>
  <c r="D47" i="169"/>
  <c r="D46" i="169"/>
  <c r="E45" i="169"/>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E23" i="169" s="1"/>
  <c r="D24" i="169"/>
  <c r="D23" i="169"/>
  <c r="D22" i="169"/>
  <c r="D21" i="169"/>
  <c r="D20" i="169"/>
  <c r="D19" i="169"/>
  <c r="E18" i="169"/>
  <c r="E12" i="169" s="1"/>
  <c r="E11" i="169" s="1"/>
  <c r="D18" i="169"/>
  <c r="D17" i="169"/>
  <c r="D16" i="169"/>
  <c r="D15" i="169"/>
  <c r="D14" i="169"/>
  <c r="E13" i="169"/>
  <c r="D13" i="169"/>
  <c r="D12" i="169"/>
  <c r="D11" i="169"/>
  <c r="E9" i="169"/>
  <c r="E89" i="168"/>
  <c r="D77" i="168"/>
  <c r="D110" i="168" s="1"/>
  <c r="E63" i="168"/>
  <c r="E52" i="168"/>
  <c r="E48" i="168"/>
  <c r="D48" i="168"/>
  <c r="D55" i="168" s="1"/>
  <c r="E44" i="168"/>
  <c r="E40" i="168"/>
  <c r="E36" i="168"/>
  <c r="E34" i="168"/>
  <c r="D28" i="168"/>
  <c r="D27" i="168"/>
  <c r="D26" i="168"/>
  <c r="E25" i="168"/>
  <c r="E103" i="168" s="1" a="1"/>
  <c r="D25" i="168"/>
  <c r="C25" i="168"/>
  <c r="E23" i="168"/>
  <c r="D17" i="168"/>
  <c r="D16" i="168"/>
  <c r="D15" i="168"/>
  <c r="E14" i="168"/>
  <c r="D14" i="168"/>
  <c r="C14" i="168"/>
  <c r="E12" i="168"/>
  <c r="E79" i="50" l="1"/>
  <c r="E81" i="168" a="1"/>
  <c r="E84" i="168" s="1"/>
  <c r="E40" i="169"/>
  <c r="E78" i="50" s="1"/>
  <c r="G216" i="177" s="1"/>
  <c r="D81" i="168"/>
  <c r="D84" i="168"/>
  <c r="D79" i="168"/>
  <c r="D82" i="168"/>
  <c r="E137" i="169" a="1"/>
  <c r="E106" i="168"/>
  <c r="E104" i="168"/>
  <c r="E105" i="168"/>
  <c r="E103" i="168"/>
  <c r="E82" i="168"/>
  <c r="D49" i="168"/>
  <c r="D51" i="168"/>
  <c r="D54" i="168"/>
  <c r="E69" i="168" a="1"/>
  <c r="E77" i="168" a="1"/>
  <c r="E91" i="168" a="1"/>
  <c r="E99" i="168" a="1"/>
  <c r="D103" i="168"/>
  <c r="D104" i="168"/>
  <c r="D106" i="168"/>
  <c r="E107" i="168" a="1"/>
  <c r="D109" i="168"/>
  <c r="D50" i="168"/>
  <c r="D52" i="168"/>
  <c r="D53" i="168"/>
  <c r="E65" i="168" a="1"/>
  <c r="E73" i="168" a="1"/>
  <c r="D78" i="168"/>
  <c r="D80" i="168"/>
  <c r="D83" i="168"/>
  <c r="E95" i="168" a="1"/>
  <c r="D105" i="168"/>
  <c r="D107" i="168"/>
  <c r="D108" i="168"/>
  <c r="B71" i="50"/>
  <c r="B209" i="167"/>
  <c r="B14" i="54" s="1"/>
  <c r="B194" i="167"/>
  <c r="B13" i="54" s="1"/>
  <c r="E81" i="168" l="1"/>
  <c r="E83" i="168"/>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4" i="167"/>
  <c r="E124" i="167"/>
  <c r="E123" i="167" s="1"/>
  <c r="E117" i="167"/>
  <c r="E113" i="167"/>
  <c r="E109" i="167"/>
  <c r="D108" i="167"/>
  <c r="E103" i="167"/>
  <c r="E98" i="167"/>
  <c r="E97" i="167" s="1"/>
  <c r="E92" i="167"/>
  <c r="E87" i="167"/>
  <c r="E81" i="167"/>
  <c r="E76" i="167"/>
  <c r="D74" i="167"/>
  <c r="D106" i="167" s="1"/>
  <c r="C74" i="167" a="1"/>
  <c r="C129"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E35" i="167" s="1"/>
  <c r="E29" i="168" s="1"/>
  <c r="D36"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c r="D12" i="167"/>
  <c r="E10" i="167"/>
  <c r="C1" i="167"/>
  <c r="E12" i="167" l="1"/>
  <c r="E86" i="167"/>
  <c r="E75" i="167"/>
  <c r="E74" i="167" s="1"/>
  <c r="D89" i="167"/>
  <c r="D96" i="167"/>
  <c r="D102" i="167"/>
  <c r="D105" i="167"/>
  <c r="E108" i="167"/>
  <c r="D191" i="167"/>
  <c r="D236" i="167"/>
  <c r="D234" i="167"/>
  <c r="D232" i="167"/>
  <c r="D230" i="167"/>
  <c r="D228" i="167"/>
  <c r="D235" i="167"/>
  <c r="D233" i="167"/>
  <c r="D231" i="167"/>
  <c r="D229" i="167"/>
  <c r="E80" i="50"/>
  <c r="E228" i="167" a="1"/>
  <c r="D80" i="167"/>
  <c r="D83" i="167"/>
  <c r="D128" i="167"/>
  <c r="D221" i="167"/>
  <c r="D219" i="167"/>
  <c r="D217" i="167"/>
  <c r="D215" i="167"/>
  <c r="D213" i="167"/>
  <c r="D220" i="167"/>
  <c r="D218" i="167"/>
  <c r="D216" i="167"/>
  <c r="D214" i="167"/>
  <c r="D113" i="167"/>
  <c r="D114" i="167"/>
  <c r="D121" i="167"/>
  <c r="D127" i="167"/>
  <c r="E46" i="167"/>
  <c r="E77" i="50" s="1"/>
  <c r="E18" i="168"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C137" i="167"/>
  <c r="C141" i="167"/>
  <c r="C145" i="167"/>
  <c r="C149" i="167"/>
  <c r="C153" i="167"/>
  <c r="C157" i="167"/>
  <c r="C161" i="167"/>
  <c r="C165" i="167"/>
  <c r="C169" i="167"/>
  <c r="C173" i="167"/>
  <c r="C177" i="167"/>
  <c r="C181" i="167"/>
  <c r="C185"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3" i="50"/>
  <c r="C39" i="50"/>
  <c r="E76" i="50" l="1"/>
  <c r="E75" i="50" s="1"/>
  <c r="G216" i="176"/>
  <c r="E136" i="167" a="1"/>
  <c r="E191" i="167" s="1"/>
  <c r="E228" i="167"/>
  <c r="E229" i="167"/>
  <c r="E233" i="167"/>
  <c r="E231" i="167"/>
  <c r="E235" i="167"/>
  <c r="E234" i="167"/>
  <c r="E230" i="167"/>
  <c r="E236" i="167"/>
  <c r="E232" i="167"/>
  <c r="E136" i="167" l="1"/>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59" i="54"/>
  <c r="B57" i="54"/>
  <c r="B56" i="54"/>
  <c r="B55" i="54"/>
  <c r="B52" i="54"/>
  <c r="B54" i="54"/>
  <c r="B51" i="54"/>
  <c r="B49" i="54"/>
  <c r="B47" i="54"/>
  <c r="B46" i="54"/>
  <c r="B44" i="54"/>
  <c r="B42" i="54"/>
  <c r="B40" i="54"/>
  <c r="B38" i="54"/>
  <c r="B36" i="54"/>
  <c r="B35" i="54"/>
  <c r="B31" i="54"/>
  <c r="B30" i="54"/>
  <c r="B29" i="54"/>
  <c r="B28" i="54"/>
  <c r="B27" i="54"/>
  <c r="B26" i="54"/>
  <c r="B20" i="54"/>
  <c r="B19" i="54"/>
  <c r="B18" i="54"/>
  <c r="B17" i="54"/>
  <c r="B16" i="54"/>
  <c r="B9" i="54"/>
  <c r="B8" i="54"/>
  <c r="B7" i="54"/>
  <c r="C20" i="164" l="1"/>
  <c r="D17" i="164"/>
  <c r="D20" i="164" s="1"/>
  <c r="C31" i="164"/>
  <c r="C30" i="164"/>
  <c r="C29" i="164"/>
  <c r="C28" i="164"/>
  <c r="C27" i="164"/>
  <c r="C26" i="164"/>
  <c r="C25" i="164"/>
  <c r="C24" i="164"/>
  <c r="D21" i="164"/>
  <c r="D22" i="164" s="1"/>
  <c r="E11" i="164"/>
  <c r="E17" i="164"/>
  <c r="C18" i="164"/>
  <c r="C19" i="164"/>
  <c r="C13" i="164"/>
  <c r="C23" i="164" s="1"/>
  <c r="C12" i="164"/>
  <c r="C22" i="164" s="1"/>
  <c r="E8" i="164"/>
  <c r="C15" i="164"/>
  <c r="C16" i="164"/>
  <c r="E9" i="166"/>
  <c r="E14" i="166" s="1"/>
  <c r="F14" i="166" a="1"/>
  <c r="I14" i="166" s="1"/>
  <c r="I13" i="166"/>
  <c r="I12" i="166"/>
  <c r="I10" i="166"/>
  <c r="I9" i="166"/>
  <c r="G18" i="166"/>
  <c r="G17" i="166"/>
  <c r="G16" i="166"/>
  <c r="B28" i="166"/>
  <c r="C32" i="166"/>
  <c r="B32" i="166"/>
  <c r="C31" i="166"/>
  <c r="B31" i="166"/>
  <c r="C30" i="166"/>
  <c r="B30" i="166"/>
  <c r="C29" i="166"/>
  <c r="B29" i="166"/>
  <c r="B24" i="166"/>
  <c r="C11" i="166"/>
  <c r="B20" i="166"/>
  <c r="B16" i="166"/>
  <c r="C9" i="166"/>
  <c r="C10" i="166"/>
  <c r="C12" i="166" a="1"/>
  <c r="C14" i="166" s="1"/>
  <c r="H7" i="166"/>
  <c r="G7" i="166"/>
  <c r="F7" i="166"/>
  <c r="I6" i="166"/>
  <c r="F6" i="166"/>
  <c r="E6" i="166"/>
  <c r="B6" i="166"/>
  <c r="B5" i="166"/>
  <c r="B58" i="54" s="1"/>
  <c r="C13" i="166" l="1"/>
  <c r="C12" i="166"/>
  <c r="H14" i="166"/>
  <c r="D18" i="164"/>
  <c r="F14" i="166"/>
  <c r="D19" i="164"/>
  <c r="E11" i="166"/>
  <c r="E12" i="166"/>
  <c r="D23" i="164"/>
  <c r="G14" i="166"/>
  <c r="F11" i="166" a="1"/>
  <c r="G11" i="166" s="1"/>
  <c r="E9" i="165"/>
  <c r="C9" i="165"/>
  <c r="E90" i="64"/>
  <c r="C90" i="64"/>
  <c r="E64" i="64"/>
  <c r="E35" i="64"/>
  <c r="E24" i="64"/>
  <c r="E13" i="64"/>
  <c r="C13" i="64"/>
  <c r="E17" i="155"/>
  <c r="C17" i="155"/>
  <c r="E8" i="155"/>
  <c r="E135" i="143"/>
  <c r="E72" i="143"/>
  <c r="C72" i="143"/>
  <c r="E9" i="143"/>
  <c r="C9" i="143"/>
  <c r="B11" i="158" a="1"/>
  <c r="B11" i="158" s="1"/>
  <c r="C45" i="163"/>
  <c r="C52" i="163"/>
  <c r="C51" i="163"/>
  <c r="C50" i="163"/>
  <c r="C49" i="163"/>
  <c r="C48" i="163"/>
  <c r="C47" i="163"/>
  <c r="C46" i="163"/>
  <c r="F44" i="163"/>
  <c r="C7" i="163"/>
  <c r="D9" i="162"/>
  <c r="C9" i="162"/>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E10" i="161" s="1" a="1"/>
  <c r="B12" i="161"/>
  <c r="B11" i="161"/>
  <c r="C32" i="155" s="1"/>
  <c r="B7" i="163"/>
  <c r="F6" i="163"/>
  <c r="F32" i="163"/>
  <c r="F16" i="163"/>
  <c r="F8" i="163"/>
  <c r="C3" i="162"/>
  <c r="E19" i="162"/>
  <c r="E18" i="162"/>
  <c r="E17" i="162"/>
  <c r="G8" i="162"/>
  <c r="F8" i="162"/>
  <c r="G7" i="162"/>
  <c r="F6" i="162"/>
  <c r="F7" i="162"/>
  <c r="D6" i="162"/>
  <c r="G22" i="162"/>
  <c r="G27" i="162" s="1"/>
  <c r="G15" i="162"/>
  <c r="F15" i="162"/>
  <c r="G10" i="162"/>
  <c r="F22" i="162"/>
  <c r="M7" i="161"/>
  <c r="L9" i="161"/>
  <c r="K9" i="161"/>
  <c r="J9" i="161"/>
  <c r="I9" i="161"/>
  <c r="H9" i="161"/>
  <c r="G9" i="161"/>
  <c r="F9" i="161"/>
  <c r="E9" i="161"/>
  <c r="E8" i="161"/>
  <c r="L8" i="161" s="1"/>
  <c r="C7" i="161"/>
  <c r="M66" i="161"/>
  <c r="E21" i="162" s="1"/>
  <c r="M65" i="161"/>
  <c r="E20" i="162" s="1"/>
  <c r="M64" i="161"/>
  <c r="M63" i="161"/>
  <c r="M62" i="161"/>
  <c r="M61" i="161"/>
  <c r="M59" i="161"/>
  <c r="M58" i="161"/>
  <c r="M56" i="161" s="1"/>
  <c r="M57" i="161"/>
  <c r="G60" i="161"/>
  <c r="H60" i="161"/>
  <c r="I60" i="161"/>
  <c r="J60" i="161"/>
  <c r="K60" i="161"/>
  <c r="K51" i="161" s="1"/>
  <c r="M60" i="161"/>
  <c r="L60" i="161"/>
  <c r="F60" i="161"/>
  <c r="G56" i="161"/>
  <c r="H56" i="161"/>
  <c r="I56" i="161"/>
  <c r="J56" i="161"/>
  <c r="K56" i="161"/>
  <c r="L56" i="161"/>
  <c r="F56" i="161"/>
  <c r="G52" i="161"/>
  <c r="G51" i="161" s="1"/>
  <c r="H52" i="161"/>
  <c r="I52" i="161"/>
  <c r="J52" i="161"/>
  <c r="K52" i="161"/>
  <c r="L52" i="161"/>
  <c r="F52" i="161"/>
  <c r="E60" i="161"/>
  <c r="M50" i="161"/>
  <c r="M49" i="161"/>
  <c r="M48" i="161"/>
  <c r="M46" i="161" s="1"/>
  <c r="M47" i="161"/>
  <c r="M45" i="161"/>
  <c r="M44" i="161"/>
  <c r="M43" i="161"/>
  <c r="M42" i="161"/>
  <c r="M41" i="161" s="1"/>
  <c r="M38" i="161"/>
  <c r="M37" i="161"/>
  <c r="M36" i="161"/>
  <c r="M35" i="161"/>
  <c r="M34" i="161" s="1"/>
  <c r="M33" i="161"/>
  <c r="M32" i="161"/>
  <c r="M31" i="161"/>
  <c r="M30" i="161"/>
  <c r="M29" i="161" s="1"/>
  <c r="M28" i="161"/>
  <c r="M27" i="161"/>
  <c r="M26" i="161"/>
  <c r="M25" i="161"/>
  <c r="M22" i="161"/>
  <c r="M21" i="161"/>
  <c r="M20" i="161"/>
  <c r="M19" i="161"/>
  <c r="M18" i="161" s="1"/>
  <c r="M17" i="161"/>
  <c r="M16" i="161"/>
  <c r="M15" i="161"/>
  <c r="G46" i="161"/>
  <c r="H46" i="161"/>
  <c r="I46" i="161"/>
  <c r="J46" i="161"/>
  <c r="K46" i="161"/>
  <c r="L46" i="161"/>
  <c r="F46" i="161"/>
  <c r="K40" i="161"/>
  <c r="G41" i="161"/>
  <c r="G40" i="161" s="1"/>
  <c r="H41" i="161"/>
  <c r="H40" i="161" s="1"/>
  <c r="I41" i="161"/>
  <c r="J41" i="161"/>
  <c r="K41" i="161"/>
  <c r="L41" i="161"/>
  <c r="F41" i="161"/>
  <c r="G34" i="161"/>
  <c r="H34" i="161"/>
  <c r="I34" i="161"/>
  <c r="J34" i="161"/>
  <c r="K34" i="161"/>
  <c r="L34" i="161"/>
  <c r="F34" i="161"/>
  <c r="G29" i="161"/>
  <c r="H29" i="161"/>
  <c r="I29" i="161"/>
  <c r="J29" i="161"/>
  <c r="K29" i="161"/>
  <c r="L29" i="161"/>
  <c r="F29" i="161"/>
  <c r="H23" i="161"/>
  <c r="J23" i="161"/>
  <c r="G24" i="161"/>
  <c r="G23" i="161" s="1"/>
  <c r="H24" i="161"/>
  <c r="I24" i="161"/>
  <c r="J24" i="161"/>
  <c r="K24" i="161"/>
  <c r="M24" i="161"/>
  <c r="L24" i="161"/>
  <c r="F24" i="161"/>
  <c r="G18" i="161"/>
  <c r="H18" i="161"/>
  <c r="H12" i="161" s="1"/>
  <c r="I18" i="161"/>
  <c r="J18" i="161"/>
  <c r="K18" i="161"/>
  <c r="L18" i="161"/>
  <c r="F18" i="161"/>
  <c r="L13" i="161"/>
  <c r="L12" i="161" s="1"/>
  <c r="G13" i="161"/>
  <c r="H13" i="161"/>
  <c r="I13" i="161"/>
  <c r="J13" i="161"/>
  <c r="J12" i="161" s="1"/>
  <c r="K13" i="161"/>
  <c r="F13" i="161"/>
  <c r="E46" i="161"/>
  <c r="E41" i="161"/>
  <c r="B10" i="161"/>
  <c r="B24" i="64" s="1" a="1"/>
  <c r="B28" i="64" s="1"/>
  <c r="C3" i="161"/>
  <c r="G10" i="158"/>
  <c r="G9" i="158"/>
  <c r="E10" i="161" l="1"/>
  <c r="F10" i="161"/>
  <c r="H10" i="161"/>
  <c r="J10" i="161"/>
  <c r="L10" i="161"/>
  <c r="B11" i="160" a="1"/>
  <c r="B11" i="160" s="1"/>
  <c r="B9" i="143" a="1"/>
  <c r="B35" i="64" a="1"/>
  <c r="B55" i="64" s="1"/>
  <c r="B11" i="152" a="1"/>
  <c r="K11" i="152" s="1"/>
  <c r="B72" i="143" a="1"/>
  <c r="C35" i="64"/>
  <c r="B9" i="165" a="1"/>
  <c r="B45" i="165" s="1"/>
  <c r="B11" i="157" a="1"/>
  <c r="B11" i="149" a="1"/>
  <c r="K11" i="149" s="1"/>
  <c r="B8" i="155" a="1"/>
  <c r="B64" i="64" a="1"/>
  <c r="B84" i="64" s="1"/>
  <c r="B11" i="150" a="1"/>
  <c r="K11" i="150" s="1"/>
  <c r="B32" i="155" a="1"/>
  <c r="B40" i="155" s="1"/>
  <c r="F8" i="161"/>
  <c r="C73" i="169"/>
  <c r="C24" i="168"/>
  <c r="C13" i="168"/>
  <c r="C90" i="168"/>
  <c r="C64" i="168"/>
  <c r="C35" i="168"/>
  <c r="C10" i="169"/>
  <c r="C136" i="169"/>
  <c r="C73" i="167"/>
  <c r="C11" i="167"/>
  <c r="C135" i="167"/>
  <c r="C74" i="50"/>
  <c r="C9" i="164"/>
  <c r="C133" i="165"/>
  <c r="C8" i="166"/>
  <c r="C62" i="50"/>
  <c r="C36" i="50"/>
  <c r="C10" i="50"/>
  <c r="C71" i="165"/>
  <c r="F9" i="162" a="1"/>
  <c r="F51" i="161"/>
  <c r="G8" i="161"/>
  <c r="E13" i="168"/>
  <c r="E90" i="168"/>
  <c r="E64" i="168"/>
  <c r="E35" i="168"/>
  <c r="E10" i="169"/>
  <c r="E136" i="169"/>
  <c r="E24" i="168"/>
  <c r="E73" i="169"/>
  <c r="E135" i="167"/>
  <c r="E73" i="167"/>
  <c r="E11" i="167"/>
  <c r="E74" i="50"/>
  <c r="E9" i="164"/>
  <c r="E133" i="165"/>
  <c r="E62" i="50"/>
  <c r="E10" i="50"/>
  <c r="E71" i="165"/>
  <c r="E8" i="166" a="1"/>
  <c r="E36" i="50"/>
  <c r="B11" i="148" a="1"/>
  <c r="K11" i="148" s="1"/>
  <c r="B12" i="154" a="1"/>
  <c r="C8" i="155"/>
  <c r="E32" i="155"/>
  <c r="C64" i="64"/>
  <c r="B11" i="147" a="1"/>
  <c r="K11" i="147" s="1"/>
  <c r="B13" i="64" a="1"/>
  <c r="B13" i="64" s="1"/>
  <c r="B11" i="146" a="1"/>
  <c r="J11" i="146" s="1"/>
  <c r="B90" i="64" a="1"/>
  <c r="B110" i="64" s="1"/>
  <c r="L23" i="161"/>
  <c r="L51" i="161"/>
  <c r="H8" i="161"/>
  <c r="I8" i="161"/>
  <c r="K23" i="161"/>
  <c r="J8" i="161"/>
  <c r="E7" i="163" a="1"/>
  <c r="E7" i="163" s="1"/>
  <c r="B11" i="156" a="1"/>
  <c r="I40" i="161"/>
  <c r="J51" i="161"/>
  <c r="K8" i="161"/>
  <c r="B135" i="143" a="1"/>
  <c r="B191" i="143" s="1"/>
  <c r="I23" i="161"/>
  <c r="J40" i="161"/>
  <c r="B10" i="162" a="1"/>
  <c r="F45" i="163"/>
  <c r="C135" i="143"/>
  <c r="C24" i="64"/>
  <c r="C11" i="158"/>
  <c r="I51" i="161"/>
  <c r="B62" i="50" a="1"/>
  <c r="B74" i="50" a="1"/>
  <c r="B11" i="174" a="1"/>
  <c r="B35" i="168" a="1"/>
  <c r="B73" i="169" a="1"/>
  <c r="B11" i="175" a="1"/>
  <c r="B24" i="168" a="1"/>
  <c r="B13" i="168" a="1"/>
  <c r="B136" i="169" a="1"/>
  <c r="B10" i="169" a="1"/>
  <c r="B11" i="177" a="1"/>
  <c r="B11" i="176" a="1"/>
  <c r="B11" i="170" a="1"/>
  <c r="B64" i="168" a="1"/>
  <c r="B11" i="171" a="1"/>
  <c r="B11" i="172" a="1"/>
  <c r="B90" i="168" a="1"/>
  <c r="B11" i="173" a="1"/>
  <c r="B73" i="167" a="1"/>
  <c r="B135" i="167" a="1"/>
  <c r="B11" i="167" a="1"/>
  <c r="B8" i="166"/>
  <c r="B9" i="164" a="1"/>
  <c r="B133" i="165" a="1"/>
  <c r="B71" i="165" a="1"/>
  <c r="D9" i="166" a="1"/>
  <c r="B36" i="50" a="1"/>
  <c r="B10" i="50" a="1"/>
  <c r="B9" i="162"/>
  <c r="B8" i="163" a="1"/>
  <c r="B29" i="163" s="1"/>
  <c r="H51" i="161"/>
  <c r="B45" i="163" a="1"/>
  <c r="B49" i="163" s="1"/>
  <c r="G11" i="158"/>
  <c r="E11" i="158"/>
  <c r="B17" i="155" a="1"/>
  <c r="B19" i="155" s="1"/>
  <c r="B64" i="143"/>
  <c r="B56" i="143"/>
  <c r="B60" i="143"/>
  <c r="B52" i="143"/>
  <c r="B44" i="143"/>
  <c r="B36" i="143"/>
  <c r="B28" i="143"/>
  <c r="B20" i="143"/>
  <c r="B12" i="143"/>
  <c r="B80" i="143"/>
  <c r="B96" i="143"/>
  <c r="B112" i="143"/>
  <c r="B128" i="143"/>
  <c r="B25" i="155"/>
  <c r="B23" i="155"/>
  <c r="B21" i="155"/>
  <c r="B16" i="64"/>
  <c r="B42" i="64"/>
  <c r="B61" i="165"/>
  <c r="B43" i="165"/>
  <c r="B37" i="165"/>
  <c r="B19" i="165"/>
  <c r="B13" i="165"/>
  <c r="K11" i="160"/>
  <c r="I11" i="160"/>
  <c r="G11" i="160"/>
  <c r="E11" i="160"/>
  <c r="C11" i="160"/>
  <c r="J11" i="160"/>
  <c r="H11" i="160"/>
  <c r="F11" i="160"/>
  <c r="D11" i="160"/>
  <c r="F11" i="149"/>
  <c r="B11" i="149"/>
  <c r="J11" i="149"/>
  <c r="B27" i="162"/>
  <c r="B23"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6" i="143"/>
  <c r="B148" i="143"/>
  <c r="B150" i="143"/>
  <c r="B152" i="143"/>
  <c r="B154" i="143"/>
  <c r="B156" i="143"/>
  <c r="B158" i="143"/>
  <c r="B160" i="143"/>
  <c r="B162" i="143"/>
  <c r="B164" i="143"/>
  <c r="B166" i="143"/>
  <c r="B170" i="143"/>
  <c r="B172" i="143"/>
  <c r="B174" i="143"/>
  <c r="B176" i="143"/>
  <c r="B178" i="143"/>
  <c r="B180" i="143"/>
  <c r="B182" i="143"/>
  <c r="B184" i="143"/>
  <c r="B186" i="143"/>
  <c r="B188" i="143"/>
  <c r="B190" i="143"/>
  <c r="B135" i="143"/>
  <c r="B137" i="143"/>
  <c r="B139" i="143"/>
  <c r="B141" i="143"/>
  <c r="B143" i="143"/>
  <c r="B145" i="143"/>
  <c r="B147" i="143"/>
  <c r="B149" i="143"/>
  <c r="B151" i="143"/>
  <c r="B153" i="143"/>
  <c r="B155" i="143"/>
  <c r="B159" i="143"/>
  <c r="B161" i="143"/>
  <c r="B163" i="143"/>
  <c r="B165" i="143"/>
  <c r="B167" i="143"/>
  <c r="B169" i="143"/>
  <c r="B171" i="143"/>
  <c r="B173" i="143"/>
  <c r="B175" i="143"/>
  <c r="B177" i="143"/>
  <c r="B179"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45" i="163"/>
  <c r="B50" i="163"/>
  <c r="B48" i="163"/>
  <c r="B30" i="162"/>
  <c r="B24" i="162"/>
  <c r="B22" i="162"/>
  <c r="B18" i="162"/>
  <c r="B16" i="162"/>
  <c r="B12" i="162"/>
  <c r="M10" i="161"/>
  <c r="K10" i="161"/>
  <c r="I10" i="161"/>
  <c r="G10" i="161"/>
  <c r="M23" i="161"/>
  <c r="E12" i="162" s="1"/>
  <c r="M40" i="161"/>
  <c r="E14" i="162" s="1"/>
  <c r="L40" i="161"/>
  <c r="L11" i="161" s="1"/>
  <c r="F40" i="161"/>
  <c r="H11" i="161"/>
  <c r="F23" i="161"/>
  <c r="J11" i="161"/>
  <c r="K12" i="161"/>
  <c r="K11" i="161" s="1"/>
  <c r="I12" i="161"/>
  <c r="I11" i="161" s="1"/>
  <c r="G12" i="161"/>
  <c r="G11" i="161" s="1"/>
  <c r="F12" i="161"/>
  <c r="F11" i="161" s="1"/>
  <c r="E40" i="161"/>
  <c r="E8" i="157"/>
  <c r="D8" i="157"/>
  <c r="G10" i="157"/>
  <c r="G9" i="157"/>
  <c r="F8" i="156"/>
  <c r="E8" i="156"/>
  <c r="D8" i="156"/>
  <c r="C8" i="156"/>
  <c r="C8" i="157" s="1"/>
  <c r="G10" i="156"/>
  <c r="G9" i="156"/>
  <c r="H8" i="156"/>
  <c r="J10" i="160"/>
  <c r="J9" i="160"/>
  <c r="K8" i="160"/>
  <c r="F8" i="160"/>
  <c r="C8" i="160"/>
  <c r="J10" i="152"/>
  <c r="J9" i="152"/>
  <c r="K8" i="152"/>
  <c r="I8" i="152"/>
  <c r="C8" i="152"/>
  <c r="J10" i="150"/>
  <c r="J9" i="150"/>
  <c r="K8" i="150"/>
  <c r="I8" i="150"/>
  <c r="E8" i="150"/>
  <c r="C8" i="150"/>
  <c r="J10" i="149"/>
  <c r="J9" i="149"/>
  <c r="K8" i="149"/>
  <c r="F8" i="149"/>
  <c r="C8" i="149"/>
  <c r="I8" i="148"/>
  <c r="C8" i="148"/>
  <c r="J10" i="148"/>
  <c r="J9" i="148"/>
  <c r="K8" i="148"/>
  <c r="I8" i="147"/>
  <c r="E8" i="147"/>
  <c r="C8" i="147"/>
  <c r="J10" i="147"/>
  <c r="J9" i="147"/>
  <c r="K8" i="147"/>
  <c r="H8" i="146"/>
  <c r="E9" i="154"/>
  <c r="E8" i="152" s="1"/>
  <c r="D8" i="146"/>
  <c r="D9" i="154"/>
  <c r="D8" i="152" s="1"/>
  <c r="C8" i="146"/>
  <c r="J10" i="146"/>
  <c r="J9" i="146"/>
  <c r="J9" i="154"/>
  <c r="H8" i="157" s="1"/>
  <c r="H9" i="154"/>
  <c r="I8" i="160" s="1"/>
  <c r="G9" i="154"/>
  <c r="G8" i="149" s="1"/>
  <c r="F9" i="154"/>
  <c r="F8" i="150" s="1"/>
  <c r="C9" i="154"/>
  <c r="I11" i="154"/>
  <c r="I10" i="154"/>
  <c r="E134" i="143"/>
  <c r="E126" i="143"/>
  <c r="E123" i="143"/>
  <c r="E118" i="143"/>
  <c r="E117" i="143"/>
  <c r="E111" i="143"/>
  <c r="E107" i="143"/>
  <c r="E103" i="143"/>
  <c r="E102" i="143" s="1"/>
  <c r="E96" i="143"/>
  <c r="E91" i="143"/>
  <c r="E86" i="143"/>
  <c r="E85" i="143" s="1"/>
  <c r="E80" i="143"/>
  <c r="E75" i="143"/>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B32" i="163" l="1"/>
  <c r="B25" i="163"/>
  <c r="K11" i="173"/>
  <c r="H11" i="173"/>
  <c r="C11" i="173"/>
  <c r="J11" i="173"/>
  <c r="E11" i="173"/>
  <c r="G11" i="173"/>
  <c r="I11" i="173"/>
  <c r="B11" i="173"/>
  <c r="D11" i="173"/>
  <c r="F11" i="173"/>
  <c r="J11" i="175"/>
  <c r="C11" i="175"/>
  <c r="E11" i="175"/>
  <c r="G11" i="175"/>
  <c r="I11" i="175"/>
  <c r="K11" i="175"/>
  <c r="B11" i="175"/>
  <c r="D11" i="175"/>
  <c r="F11" i="175"/>
  <c r="H11" i="175"/>
  <c r="B10" i="162"/>
  <c r="B13" i="162"/>
  <c r="B17" i="162"/>
  <c r="B21" i="162"/>
  <c r="B25" i="162"/>
  <c r="B29" i="162"/>
  <c r="D8" i="148"/>
  <c r="G8" i="160"/>
  <c r="F8" i="157"/>
  <c r="B10" i="163"/>
  <c r="B34" i="163"/>
  <c r="K11" i="146"/>
  <c r="B21" i="165"/>
  <c r="B109" i="168"/>
  <c r="B90" i="168"/>
  <c r="B110" i="168"/>
  <c r="B106" i="168"/>
  <c r="B102" i="168"/>
  <c r="B98" i="168"/>
  <c r="B94" i="168"/>
  <c r="B91" i="168"/>
  <c r="B97" i="168"/>
  <c r="B92" i="168"/>
  <c r="B96" i="168"/>
  <c r="B99" i="168"/>
  <c r="B100" i="168"/>
  <c r="B101" i="168"/>
  <c r="B103" i="168"/>
  <c r="B104" i="168"/>
  <c r="B108" i="168"/>
  <c r="B105" i="168"/>
  <c r="B107" i="168"/>
  <c r="B93" i="168"/>
  <c r="B95" i="168"/>
  <c r="B116" i="169"/>
  <c r="B92" i="169"/>
  <c r="B87" i="169"/>
  <c r="B105" i="169"/>
  <c r="B88" i="169"/>
  <c r="B114" i="169"/>
  <c r="B90" i="169"/>
  <c r="B91" i="169"/>
  <c r="B109" i="169"/>
  <c r="B112" i="169"/>
  <c r="B95" i="169"/>
  <c r="B113" i="169"/>
  <c r="B84" i="169"/>
  <c r="B103" i="169"/>
  <c r="B121" i="169"/>
  <c r="B110" i="169"/>
  <c r="B86" i="169"/>
  <c r="B99" i="169"/>
  <c r="B73" i="169"/>
  <c r="B117" i="169"/>
  <c r="B130" i="169"/>
  <c r="B106" i="169"/>
  <c r="B82" i="169"/>
  <c r="B107" i="169"/>
  <c r="B77" i="169"/>
  <c r="B125" i="169"/>
  <c r="B128" i="169"/>
  <c r="B104" i="169"/>
  <c r="B80" i="169"/>
  <c r="B111" i="169"/>
  <c r="B81" i="169"/>
  <c r="B129" i="169"/>
  <c r="B74" i="169"/>
  <c r="B126" i="169"/>
  <c r="B102" i="169"/>
  <c r="B78" i="169"/>
  <c r="B115" i="169"/>
  <c r="B85" i="169"/>
  <c r="B89" i="169"/>
  <c r="B124" i="169"/>
  <c r="B100" i="169"/>
  <c r="B119" i="169"/>
  <c r="B75" i="169"/>
  <c r="B122" i="169"/>
  <c r="B98" i="169"/>
  <c r="B76" i="169"/>
  <c r="B123" i="169"/>
  <c r="B93" i="169"/>
  <c r="B120" i="169"/>
  <c r="B96" i="169"/>
  <c r="B79" i="169"/>
  <c r="B127" i="169"/>
  <c r="B97" i="169"/>
  <c r="B118" i="169"/>
  <c r="B94" i="169"/>
  <c r="B83" i="169"/>
  <c r="B101" i="169"/>
  <c r="B108" i="169"/>
  <c r="E8" i="166"/>
  <c r="F8" i="166"/>
  <c r="H8" i="166"/>
  <c r="I8" i="166"/>
  <c r="G8" i="166"/>
  <c r="B8" i="163"/>
  <c r="B35" i="163"/>
  <c r="B39" i="163"/>
  <c r="B23" i="163"/>
  <c r="B27" i="163"/>
  <c r="B31" i="163"/>
  <c r="B11" i="163"/>
  <c r="B15" i="163"/>
  <c r="B19" i="163"/>
  <c r="B9" i="165"/>
  <c r="B12" i="165"/>
  <c r="B36" i="165"/>
  <c r="B60" i="165"/>
  <c r="B14" i="165"/>
  <c r="B38" i="165"/>
  <c r="B62" i="165"/>
  <c r="B16" i="165"/>
  <c r="B40" i="165"/>
  <c r="B64" i="165"/>
  <c r="B18" i="165"/>
  <c r="B42" i="165"/>
  <c r="B20" i="165"/>
  <c r="B44" i="165"/>
  <c r="B22" i="165"/>
  <c r="B46" i="165"/>
  <c r="B24" i="165"/>
  <c r="B48" i="165"/>
  <c r="B26" i="165"/>
  <c r="B50" i="165"/>
  <c r="B30" i="165"/>
  <c r="B54" i="165"/>
  <c r="B28" i="165"/>
  <c r="B52" i="165"/>
  <c r="B32" i="165"/>
  <c r="B56" i="165"/>
  <c r="B10" i="165"/>
  <c r="B34" i="165"/>
  <c r="B58" i="165"/>
  <c r="E74" i="143"/>
  <c r="E73" i="143" s="1"/>
  <c r="K8" i="146"/>
  <c r="E8" i="148"/>
  <c r="B12" i="163"/>
  <c r="B36" i="163"/>
  <c r="B33" i="163"/>
  <c r="I11" i="146"/>
  <c r="B181" i="143"/>
  <c r="B157" i="143"/>
  <c r="B192" i="143"/>
  <c r="B168" i="143"/>
  <c r="B144" i="143"/>
  <c r="B11" i="162"/>
  <c r="B23" i="165"/>
  <c r="B47" i="165"/>
  <c r="B10" i="50"/>
  <c r="B17" i="50"/>
  <c r="B14" i="50"/>
  <c r="B15" i="50"/>
  <c r="B12" i="50"/>
  <c r="B13" i="50"/>
  <c r="B11" i="50"/>
  <c r="B30" i="50"/>
  <c r="B28" i="50"/>
  <c r="B29" i="50"/>
  <c r="B26" i="50"/>
  <c r="B27" i="50"/>
  <c r="B24" i="50"/>
  <c r="B23" i="50"/>
  <c r="B25" i="50"/>
  <c r="B22" i="50"/>
  <c r="B20" i="50"/>
  <c r="B21" i="50"/>
  <c r="B18" i="50"/>
  <c r="B19" i="50"/>
  <c r="B16" i="50"/>
  <c r="K11" i="172"/>
  <c r="F11" i="172"/>
  <c r="J11" i="172"/>
  <c r="C11" i="172"/>
  <c r="E11" i="172"/>
  <c r="G11" i="172"/>
  <c r="D11" i="172"/>
  <c r="I11" i="172"/>
  <c r="H11" i="172"/>
  <c r="B11" i="172"/>
  <c r="B54" i="168"/>
  <c r="B47" i="168"/>
  <c r="B55" i="168"/>
  <c r="B51" i="168"/>
  <c r="B43" i="168"/>
  <c r="B39" i="168"/>
  <c r="B35" i="168"/>
  <c r="B49" i="168"/>
  <c r="B40" i="168"/>
  <c r="B53" i="168"/>
  <c r="B42" i="168"/>
  <c r="B44" i="168"/>
  <c r="B50" i="168"/>
  <c r="B52" i="168"/>
  <c r="B36" i="168"/>
  <c r="B48" i="168"/>
  <c r="B37" i="168"/>
  <c r="B41" i="168"/>
  <c r="B45" i="168"/>
  <c r="B38" i="168"/>
  <c r="B46" i="168"/>
  <c r="B129" i="143"/>
  <c r="B120" i="143"/>
  <c r="B104" i="143"/>
  <c r="B72" i="143"/>
  <c r="B88" i="143"/>
  <c r="F8" i="148"/>
  <c r="F8" i="152"/>
  <c r="B14" i="163"/>
  <c r="B38" i="163"/>
  <c r="B37" i="163"/>
  <c r="B15" i="162"/>
  <c r="B25" i="165"/>
  <c r="B49" i="165"/>
  <c r="B55" i="50"/>
  <c r="B40" i="50"/>
  <c r="B43" i="50"/>
  <c r="B44" i="50"/>
  <c r="B45" i="50"/>
  <c r="B48" i="50"/>
  <c r="B47" i="50"/>
  <c r="B52" i="50"/>
  <c r="B49" i="50"/>
  <c r="B56" i="50"/>
  <c r="B51" i="50"/>
  <c r="B53" i="50"/>
  <c r="B38" i="50"/>
  <c r="B42" i="50"/>
  <c r="B46" i="50"/>
  <c r="B50" i="50"/>
  <c r="B37" i="50"/>
  <c r="B54" i="50"/>
  <c r="B39" i="50"/>
  <c r="B36" i="50"/>
  <c r="B41" i="50"/>
  <c r="K11" i="171"/>
  <c r="G11" i="171"/>
  <c r="I11" i="171"/>
  <c r="D11" i="171"/>
  <c r="H11" i="171"/>
  <c r="B11" i="171"/>
  <c r="F11" i="171"/>
  <c r="J11" i="171"/>
  <c r="C11" i="171"/>
  <c r="E11" i="171"/>
  <c r="J11" i="174"/>
  <c r="C11" i="174"/>
  <c r="G11" i="174"/>
  <c r="E11" i="174"/>
  <c r="I11" i="174"/>
  <c r="K11" i="174"/>
  <c r="B11" i="174"/>
  <c r="D11" i="174"/>
  <c r="F11" i="174"/>
  <c r="H11" i="174"/>
  <c r="D8" i="170"/>
  <c r="D8" i="171"/>
  <c r="D8" i="172"/>
  <c r="D8" i="173"/>
  <c r="D8" i="174"/>
  <c r="D8" i="175"/>
  <c r="D8" i="147"/>
  <c r="G8" i="148"/>
  <c r="D8" i="150"/>
  <c r="G8" i="152"/>
  <c r="B14" i="162"/>
  <c r="B16" i="163"/>
  <c r="B19" i="162"/>
  <c r="B27" i="165"/>
  <c r="B51" i="165"/>
  <c r="D10" i="166"/>
  <c r="D11" i="166"/>
  <c r="D12" i="166"/>
  <c r="D14" i="166"/>
  <c r="D9" i="166"/>
  <c r="D13" i="166"/>
  <c r="B84" i="168"/>
  <c r="B69" i="168"/>
  <c r="B68" i="168"/>
  <c r="B71" i="168"/>
  <c r="B70" i="168"/>
  <c r="B73" i="168"/>
  <c r="B72" i="168"/>
  <c r="B75" i="168"/>
  <c r="B79" i="168"/>
  <c r="B78" i="168"/>
  <c r="B64" i="168"/>
  <c r="B81" i="168"/>
  <c r="B80" i="168"/>
  <c r="B82" i="168"/>
  <c r="B83" i="168"/>
  <c r="B76" i="168"/>
  <c r="B65" i="168"/>
  <c r="B67" i="168"/>
  <c r="B66" i="168"/>
  <c r="B74" i="168"/>
  <c r="B77" i="168"/>
  <c r="B74" i="50"/>
  <c r="B77" i="50"/>
  <c r="B78" i="50"/>
  <c r="B79" i="50"/>
  <c r="B80" i="50"/>
  <c r="B75" i="50"/>
  <c r="B76" i="50"/>
  <c r="B35" i="64"/>
  <c r="B50" i="64"/>
  <c r="B18" i="163"/>
  <c r="B29" i="165"/>
  <c r="B53" i="165"/>
  <c r="B126" i="165"/>
  <c r="B89" i="165"/>
  <c r="B71" i="165"/>
  <c r="B119" i="165"/>
  <c r="B86" i="165"/>
  <c r="B110" i="165"/>
  <c r="B93" i="165"/>
  <c r="B75" i="165"/>
  <c r="B123" i="165"/>
  <c r="B88" i="165"/>
  <c r="B112" i="165"/>
  <c r="B97" i="165"/>
  <c r="B79" i="165"/>
  <c r="B127" i="165"/>
  <c r="B90" i="165"/>
  <c r="B114" i="165"/>
  <c r="B101" i="165"/>
  <c r="B83" i="165"/>
  <c r="B92" i="165"/>
  <c r="B116" i="165"/>
  <c r="B105" i="165"/>
  <c r="B87" i="165"/>
  <c r="B94" i="165"/>
  <c r="B118" i="165"/>
  <c r="B109" i="165"/>
  <c r="B91" i="165"/>
  <c r="B72" i="165"/>
  <c r="B96" i="165"/>
  <c r="B120" i="165"/>
  <c r="B113" i="165"/>
  <c r="B95" i="165"/>
  <c r="B74" i="165"/>
  <c r="B98" i="165"/>
  <c r="B122" i="165"/>
  <c r="B117" i="165"/>
  <c r="B99" i="165"/>
  <c r="B76" i="165"/>
  <c r="B100" i="165"/>
  <c r="B124" i="165"/>
  <c r="B125" i="165"/>
  <c r="B104" i="165"/>
  <c r="B73" i="165"/>
  <c r="B121" i="165"/>
  <c r="B103" i="165"/>
  <c r="B78" i="165"/>
  <c r="B102" i="165"/>
  <c r="B77" i="165"/>
  <c r="B107" i="165"/>
  <c r="B80" i="165"/>
  <c r="B81" i="165"/>
  <c r="B111" i="165"/>
  <c r="B82" i="165"/>
  <c r="B106" i="165"/>
  <c r="B85" i="165"/>
  <c r="B115" i="165"/>
  <c r="B84" i="165"/>
  <c r="B108" i="165"/>
  <c r="J11" i="170"/>
  <c r="C11" i="170"/>
  <c r="E11" i="170"/>
  <c r="G11" i="170"/>
  <c r="I11" i="170"/>
  <c r="K11" i="170"/>
  <c r="B11" i="170"/>
  <c r="D11" i="170"/>
  <c r="F11" i="170"/>
  <c r="H11" i="170"/>
  <c r="B65" i="50"/>
  <c r="B67" i="50"/>
  <c r="B63" i="50"/>
  <c r="B62" i="50"/>
  <c r="B64" i="50"/>
  <c r="B66" i="50"/>
  <c r="B68" i="50"/>
  <c r="B9" i="143"/>
  <c r="B16" i="143"/>
  <c r="B24" i="143"/>
  <c r="B32" i="143"/>
  <c r="B40" i="143"/>
  <c r="B48" i="143"/>
  <c r="B20" i="163"/>
  <c r="B31" i="165"/>
  <c r="B55" i="165"/>
  <c r="B188" i="165"/>
  <c r="B143" i="165"/>
  <c r="B169" i="165"/>
  <c r="B154" i="165"/>
  <c r="B178" i="165"/>
  <c r="B147" i="165"/>
  <c r="B173" i="165"/>
  <c r="B156" i="165"/>
  <c r="B180" i="165"/>
  <c r="B151" i="165"/>
  <c r="B177" i="165"/>
  <c r="B134" i="165"/>
  <c r="B158" i="165"/>
  <c r="B182" i="165"/>
  <c r="B155" i="165"/>
  <c r="B133" i="165"/>
  <c r="B181" i="165"/>
  <c r="B136" i="165"/>
  <c r="B160" i="165"/>
  <c r="B184" i="165"/>
  <c r="B159" i="165"/>
  <c r="B137" i="165"/>
  <c r="B185" i="165"/>
  <c r="B138" i="165"/>
  <c r="B162" i="165"/>
  <c r="B186" i="165"/>
  <c r="B163" i="165"/>
  <c r="B141" i="165"/>
  <c r="B189" i="165"/>
  <c r="B140" i="165"/>
  <c r="B164" i="165"/>
  <c r="B167" i="165"/>
  <c r="B145" i="165"/>
  <c r="B142" i="165"/>
  <c r="B166" i="165"/>
  <c r="B171" i="165"/>
  <c r="B149" i="165"/>
  <c r="B144" i="165"/>
  <c r="B168" i="165"/>
  <c r="B172" i="165"/>
  <c r="B175" i="165"/>
  <c r="B153" i="165"/>
  <c r="B146" i="165"/>
  <c r="B170" i="165"/>
  <c r="B179" i="165"/>
  <c r="B157" i="165"/>
  <c r="B148" i="165"/>
  <c r="B135" i="165"/>
  <c r="B183" i="165"/>
  <c r="B161" i="165"/>
  <c r="B150" i="165"/>
  <c r="B174" i="165"/>
  <c r="B139" i="165"/>
  <c r="B187" i="165"/>
  <c r="B165" i="165"/>
  <c r="B152" i="165"/>
  <c r="B176" i="165"/>
  <c r="H11" i="176"/>
  <c r="B11" i="176"/>
  <c r="F11" i="176"/>
  <c r="D11" i="176"/>
  <c r="C11" i="176"/>
  <c r="E11" i="176"/>
  <c r="G11" i="176"/>
  <c r="E8" i="170"/>
  <c r="E8" i="171"/>
  <c r="E8" i="172"/>
  <c r="E8" i="173"/>
  <c r="E8" i="174"/>
  <c r="E8" i="175"/>
  <c r="F8" i="147"/>
  <c r="C8" i="175"/>
  <c r="C8" i="170"/>
  <c r="C8" i="171"/>
  <c r="C8" i="172"/>
  <c r="C8" i="173"/>
  <c r="C8" i="174"/>
  <c r="E8" i="146"/>
  <c r="G8" i="147"/>
  <c r="D8" i="149"/>
  <c r="G8" i="150"/>
  <c r="B20" i="162"/>
  <c r="B22" i="163"/>
  <c r="B31" i="162"/>
  <c r="B33" i="165"/>
  <c r="B57" i="165"/>
  <c r="B17" i="155"/>
  <c r="B18" i="155"/>
  <c r="B20" i="155"/>
  <c r="B22" i="155"/>
  <c r="B24" i="155"/>
  <c r="B26" i="155"/>
  <c r="B9" i="164"/>
  <c r="B28" i="164"/>
  <c r="B30" i="164"/>
  <c r="B10" i="164"/>
  <c r="B12" i="164"/>
  <c r="B14" i="164"/>
  <c r="B16" i="164"/>
  <c r="B18" i="164"/>
  <c r="B20" i="164"/>
  <c r="B22" i="164"/>
  <c r="B24" i="164"/>
  <c r="B26" i="164"/>
  <c r="B17" i="164"/>
  <c r="B15" i="164"/>
  <c r="B13" i="164"/>
  <c r="B11" i="164"/>
  <c r="B31" i="164"/>
  <c r="B29" i="164"/>
  <c r="B27" i="164"/>
  <c r="B25" i="164"/>
  <c r="B23" i="164"/>
  <c r="B21" i="164"/>
  <c r="B19" i="164"/>
  <c r="G11" i="177"/>
  <c r="H11" i="177"/>
  <c r="F11" i="177"/>
  <c r="D11" i="177"/>
  <c r="B11" i="177"/>
  <c r="C11" i="177"/>
  <c r="E11" i="177"/>
  <c r="G11" i="156"/>
  <c r="H11" i="156"/>
  <c r="F11" i="156"/>
  <c r="D11" i="156"/>
  <c r="B11" i="156"/>
  <c r="F8" i="170"/>
  <c r="F8" i="171"/>
  <c r="F8" i="172"/>
  <c r="F8" i="173"/>
  <c r="F8" i="174"/>
  <c r="F8" i="175"/>
  <c r="F8" i="146"/>
  <c r="E8" i="149"/>
  <c r="B24" i="163"/>
  <c r="B9" i="163"/>
  <c r="B11" i="165"/>
  <c r="B35" i="165"/>
  <c r="B59" i="165"/>
  <c r="B66" i="169"/>
  <c r="B13" i="169"/>
  <c r="B37" i="169"/>
  <c r="B61" i="169"/>
  <c r="B12" i="169"/>
  <c r="B36" i="169"/>
  <c r="B60" i="169"/>
  <c r="B17" i="169"/>
  <c r="B65" i="169"/>
  <c r="B16" i="169"/>
  <c r="B64" i="169"/>
  <c r="B15" i="169"/>
  <c r="B39" i="169"/>
  <c r="B63" i="169"/>
  <c r="B14" i="169"/>
  <c r="B38" i="169"/>
  <c r="B62" i="169"/>
  <c r="B41" i="169"/>
  <c r="B40" i="169"/>
  <c r="B19" i="169"/>
  <c r="B43" i="169"/>
  <c r="B67" i="169"/>
  <c r="B18" i="169"/>
  <c r="B42" i="169"/>
  <c r="B21" i="169"/>
  <c r="B45" i="169"/>
  <c r="B23" i="169"/>
  <c r="B47" i="169"/>
  <c r="B22" i="169"/>
  <c r="B46" i="169"/>
  <c r="B25" i="169"/>
  <c r="B49" i="169"/>
  <c r="B24" i="169"/>
  <c r="B48" i="169"/>
  <c r="B27" i="169"/>
  <c r="B51" i="169"/>
  <c r="B26" i="169"/>
  <c r="B50" i="169"/>
  <c r="B29" i="169"/>
  <c r="B53" i="169"/>
  <c r="B28" i="169"/>
  <c r="B52" i="169"/>
  <c r="B20" i="169"/>
  <c r="B31" i="169"/>
  <c r="B55" i="169"/>
  <c r="B30" i="169"/>
  <c r="B54" i="169"/>
  <c r="B33" i="169"/>
  <c r="B57" i="169"/>
  <c r="B32" i="169"/>
  <c r="B56" i="169"/>
  <c r="B11" i="169"/>
  <c r="B35" i="169"/>
  <c r="B59" i="169"/>
  <c r="B10" i="169"/>
  <c r="B34" i="169"/>
  <c r="B58" i="169"/>
  <c r="B44" i="169"/>
  <c r="B26" i="163"/>
  <c r="B13" i="163"/>
  <c r="B48" i="167"/>
  <c r="B24" i="167"/>
  <c r="B45" i="167"/>
  <c r="B21" i="167"/>
  <c r="B46" i="167"/>
  <c r="B43" i="167"/>
  <c r="B19" i="167"/>
  <c r="B44" i="167"/>
  <c r="B65" i="167"/>
  <c r="B41" i="167"/>
  <c r="B17" i="167"/>
  <c r="B66" i="167"/>
  <c r="B42" i="167"/>
  <c r="B63" i="167"/>
  <c r="B39" i="167"/>
  <c r="B15" i="167"/>
  <c r="B64" i="167"/>
  <c r="B40" i="167"/>
  <c r="B61" i="167"/>
  <c r="B37" i="167"/>
  <c r="B13" i="167"/>
  <c r="B62" i="167"/>
  <c r="B38" i="167"/>
  <c r="B59" i="167"/>
  <c r="B35" i="167"/>
  <c r="B11" i="167"/>
  <c r="B60" i="167"/>
  <c r="B36" i="167"/>
  <c r="B57" i="167"/>
  <c r="B33" i="167"/>
  <c r="B14" i="167"/>
  <c r="F212" i="167" s="1"/>
  <c r="B58" i="167"/>
  <c r="B34" i="167"/>
  <c r="B55" i="167"/>
  <c r="B31" i="167"/>
  <c r="B22" i="167"/>
  <c r="B56" i="167"/>
  <c r="B32" i="167"/>
  <c r="B53" i="167"/>
  <c r="B29" i="167"/>
  <c r="B12" i="167"/>
  <c r="B54" i="167"/>
  <c r="B30" i="167"/>
  <c r="B51" i="167"/>
  <c r="B27" i="167"/>
  <c r="B16" i="167"/>
  <c r="B52" i="167"/>
  <c r="B28" i="167"/>
  <c r="B49" i="167"/>
  <c r="B25" i="167"/>
  <c r="B20" i="167"/>
  <c r="B50" i="167"/>
  <c r="B26" i="167"/>
  <c r="B47" i="167"/>
  <c r="B23" i="167"/>
  <c r="B18" i="167"/>
  <c r="B67" i="167"/>
  <c r="B193" i="169"/>
  <c r="B186" i="169"/>
  <c r="B162" i="169"/>
  <c r="B138" i="169"/>
  <c r="B136" i="169"/>
  <c r="B184" i="169"/>
  <c r="B160" i="169"/>
  <c r="B182" i="169"/>
  <c r="B158" i="169"/>
  <c r="B180" i="169"/>
  <c r="B156" i="169"/>
  <c r="B178" i="169"/>
  <c r="B154" i="169"/>
  <c r="B176" i="169"/>
  <c r="B152" i="169"/>
  <c r="B174" i="169"/>
  <c r="B150" i="169"/>
  <c r="B172" i="169"/>
  <c r="B148" i="169"/>
  <c r="B170" i="169"/>
  <c r="B146" i="169"/>
  <c r="B192" i="169"/>
  <c r="B168" i="169"/>
  <c r="B144" i="169"/>
  <c r="B190" i="169"/>
  <c r="B166" i="169"/>
  <c r="B142" i="169"/>
  <c r="B188" i="169"/>
  <c r="B164" i="169"/>
  <c r="B140" i="169"/>
  <c r="B147" i="169"/>
  <c r="B171" i="169"/>
  <c r="B151" i="169"/>
  <c r="B149" i="169"/>
  <c r="B173" i="169"/>
  <c r="B175" i="169"/>
  <c r="B155" i="169"/>
  <c r="B179" i="169"/>
  <c r="B153" i="169"/>
  <c r="B177" i="169"/>
  <c r="B157" i="169"/>
  <c r="B181" i="169"/>
  <c r="B159" i="169"/>
  <c r="B183" i="169"/>
  <c r="B139" i="169"/>
  <c r="B187" i="169"/>
  <c r="B137" i="169"/>
  <c r="B161" i="169"/>
  <c r="B185" i="169"/>
  <c r="B163" i="169"/>
  <c r="B141" i="169"/>
  <c r="B165" i="169"/>
  <c r="B189" i="169"/>
  <c r="B143" i="169"/>
  <c r="B167" i="169"/>
  <c r="B191" i="169"/>
  <c r="B145" i="169"/>
  <c r="B169" i="169"/>
  <c r="F9" i="162"/>
  <c r="G9" i="162"/>
  <c r="B11" i="155"/>
  <c r="B8" i="155"/>
  <c r="B9" i="155"/>
  <c r="B10" i="155"/>
  <c r="C8" i="177"/>
  <c r="C8" i="158"/>
  <c r="I8" i="172"/>
  <c r="I8" i="173"/>
  <c r="I8" i="174"/>
  <c r="I8" i="175"/>
  <c r="F8" i="177"/>
  <c r="F8" i="176"/>
  <c r="I8" i="170"/>
  <c r="I8" i="171"/>
  <c r="F8" i="158"/>
  <c r="D8" i="160"/>
  <c r="B26" i="162"/>
  <c r="B28" i="163"/>
  <c r="B15" i="165"/>
  <c r="B39" i="165"/>
  <c r="B63" i="165"/>
  <c r="B46" i="163"/>
  <c r="B51" i="163"/>
  <c r="B52" i="163"/>
  <c r="B184" i="167"/>
  <c r="B177" i="167"/>
  <c r="B171" i="167"/>
  <c r="B185" i="167"/>
  <c r="B156" i="167"/>
  <c r="B180" i="167"/>
  <c r="B181" i="167"/>
  <c r="B175" i="167"/>
  <c r="B158" i="167"/>
  <c r="B182" i="167"/>
  <c r="B183" i="167"/>
  <c r="B137" i="167"/>
  <c r="B188" i="167"/>
  <c r="B179" i="167"/>
  <c r="B136" i="167"/>
  <c r="B160" i="167"/>
  <c r="B186" i="167"/>
  <c r="B141" i="167"/>
  <c r="B135" i="167"/>
  <c r="B138" i="167"/>
  <c r="B162" i="167"/>
  <c r="B190" i="167"/>
  <c r="B145" i="167"/>
  <c r="B139" i="167"/>
  <c r="B140" i="167"/>
  <c r="B164" i="167"/>
  <c r="B149" i="167"/>
  <c r="B143" i="167"/>
  <c r="B142" i="167"/>
  <c r="B166" i="167"/>
  <c r="B153" i="167"/>
  <c r="B147" i="167"/>
  <c r="B144" i="167"/>
  <c r="B168" i="167"/>
  <c r="B157" i="167"/>
  <c r="B151" i="167"/>
  <c r="B146" i="167"/>
  <c r="B170" i="167"/>
  <c r="B161" i="167"/>
  <c r="B155" i="167"/>
  <c r="B148" i="167"/>
  <c r="B172" i="167"/>
  <c r="B165" i="167"/>
  <c r="B159" i="167"/>
  <c r="B191" i="167"/>
  <c r="B150" i="167"/>
  <c r="B174" i="167"/>
  <c r="B169" i="167"/>
  <c r="B189" i="167"/>
  <c r="B163" i="167"/>
  <c r="B152" i="167"/>
  <c r="B176" i="167"/>
  <c r="B173" i="167"/>
  <c r="B167" i="167"/>
  <c r="B187" i="167"/>
  <c r="B154" i="167"/>
  <c r="B178" i="167"/>
  <c r="B16" i="168"/>
  <c r="B15" i="168"/>
  <c r="B13" i="168"/>
  <c r="B14" i="168"/>
  <c r="B17" i="168"/>
  <c r="F12" i="154"/>
  <c r="G12" i="154"/>
  <c r="H12" i="154"/>
  <c r="I12" i="154"/>
  <c r="J12" i="154"/>
  <c r="B12" i="154"/>
  <c r="C12" i="154"/>
  <c r="D12" i="154"/>
  <c r="E12" i="154"/>
  <c r="G8" i="170"/>
  <c r="G8" i="171"/>
  <c r="G8" i="172"/>
  <c r="G8" i="173"/>
  <c r="G8" i="174"/>
  <c r="G8" i="175"/>
  <c r="G8" i="146"/>
  <c r="H8" i="160"/>
  <c r="H8" i="172"/>
  <c r="H8" i="173"/>
  <c r="H8" i="174"/>
  <c r="H8" i="175"/>
  <c r="H8" i="170"/>
  <c r="D8" i="177"/>
  <c r="D8" i="158"/>
  <c r="B17" i="163"/>
  <c r="K8" i="173"/>
  <c r="K8" i="174"/>
  <c r="K8" i="175"/>
  <c r="H8" i="177"/>
  <c r="H8" i="176"/>
  <c r="K8" i="170"/>
  <c r="K8" i="171"/>
  <c r="K8" i="172"/>
  <c r="H8" i="158"/>
  <c r="I8" i="146"/>
  <c r="I8" i="149"/>
  <c r="E8" i="160"/>
  <c r="E8" i="177"/>
  <c r="E8" i="158"/>
  <c r="B28" i="162"/>
  <c r="B30" i="163"/>
  <c r="B21" i="163"/>
  <c r="B17" i="165"/>
  <c r="B41" i="165"/>
  <c r="B65" i="165"/>
  <c r="B128" i="167"/>
  <c r="B74" i="167"/>
  <c r="B83" i="167"/>
  <c r="B107" i="167"/>
  <c r="B100" i="167"/>
  <c r="B126" i="167"/>
  <c r="B78" i="167"/>
  <c r="B109" i="167"/>
  <c r="B102" i="167"/>
  <c r="B80" i="167"/>
  <c r="B87" i="167"/>
  <c r="B111" i="167"/>
  <c r="B104" i="167"/>
  <c r="B84" i="167"/>
  <c r="B89" i="167"/>
  <c r="B113" i="167"/>
  <c r="B106" i="167"/>
  <c r="B88" i="167"/>
  <c r="B91" i="167"/>
  <c r="B115" i="167"/>
  <c r="B108" i="167"/>
  <c r="B94" i="167"/>
  <c r="B93" i="167"/>
  <c r="B117" i="167"/>
  <c r="B76" i="167"/>
  <c r="B110" i="167"/>
  <c r="B116" i="167"/>
  <c r="B95" i="167"/>
  <c r="B119" i="167"/>
  <c r="B82" i="167"/>
  <c r="B112" i="167"/>
  <c r="B73" i="167"/>
  <c r="B97" i="167"/>
  <c r="B121" i="167"/>
  <c r="B86" i="167"/>
  <c r="B114" i="167"/>
  <c r="B75" i="167"/>
  <c r="B99" i="167"/>
  <c r="B123" i="167"/>
  <c r="B90" i="167"/>
  <c r="B118" i="167"/>
  <c r="B77" i="167"/>
  <c r="B101" i="167"/>
  <c r="B125" i="167"/>
  <c r="B92" i="167"/>
  <c r="B120" i="167"/>
  <c r="B96" i="167"/>
  <c r="B79" i="167"/>
  <c r="B103" i="167"/>
  <c r="B127" i="167"/>
  <c r="B122" i="167"/>
  <c r="B81" i="167"/>
  <c r="B105" i="167"/>
  <c r="B129" i="167"/>
  <c r="B98" i="167"/>
  <c r="B124" i="167"/>
  <c r="B85" i="167"/>
  <c r="B28" i="168"/>
  <c r="B25" i="168"/>
  <c r="B27" i="168"/>
  <c r="B24" i="168"/>
  <c r="B26" i="168"/>
  <c r="G11" i="157"/>
  <c r="H11" i="157"/>
  <c r="F11" i="157"/>
  <c r="D11" i="157"/>
  <c r="B11" i="157"/>
  <c r="H8" i="147"/>
  <c r="H8" i="148"/>
  <c r="H8" i="149"/>
  <c r="H8" i="150"/>
  <c r="H8" i="152"/>
  <c r="E10" i="143"/>
  <c r="E54" i="143"/>
  <c r="E21" i="50" s="1"/>
  <c r="E39" i="143"/>
  <c r="E20" i="50" s="1"/>
  <c r="D77" i="64"/>
  <c r="D41" i="155" s="1"/>
  <c r="E31" i="155"/>
  <c r="E24" i="155"/>
  <c r="E21" i="155"/>
  <c r="E18" i="155"/>
  <c r="E16" i="155"/>
  <c r="C9" i="155"/>
  <c r="D11" i="155"/>
  <c r="D10" i="155"/>
  <c r="E9" i="155"/>
  <c r="D9" i="155"/>
  <c r="E7" i="155"/>
  <c r="C227" i="167" l="1"/>
  <c r="C212" i="167"/>
  <c r="C197" i="167"/>
  <c r="B227" i="167" a="1"/>
  <c r="B212" i="167" a="1"/>
  <c r="B197" i="167" a="1"/>
  <c r="E212" i="167"/>
  <c r="E227" i="167"/>
  <c r="E197" i="167"/>
  <c r="E39" i="155" a="1"/>
  <c r="E40" i="155" s="1"/>
  <c r="E136" i="143" a="1"/>
  <c r="D79" i="64"/>
  <c r="D81" i="64"/>
  <c r="D83" i="64"/>
  <c r="D104" i="64"/>
  <c r="D106" i="64"/>
  <c r="D108" i="64"/>
  <c r="D110" i="64"/>
  <c r="D40" i="155"/>
  <c r="D39" i="155"/>
  <c r="D78" i="64"/>
  <c r="D80" i="64"/>
  <c r="D82" i="64"/>
  <c r="D84" i="64"/>
  <c r="D105" i="64"/>
  <c r="D107" i="64"/>
  <c r="D109" i="64"/>
  <c r="D103" i="64"/>
  <c r="E14" i="50"/>
  <c r="E36" i="155" a="1"/>
  <c r="E33" i="155" a="1"/>
  <c r="E33" i="155" s="1"/>
  <c r="B232" i="167" l="1"/>
  <c r="B228" i="167"/>
  <c r="B227" i="167"/>
  <c r="B230" i="167"/>
  <c r="B231" i="167"/>
  <c r="B229" i="167"/>
  <c r="B236" i="167"/>
  <c r="B234" i="167"/>
  <c r="B233" i="167"/>
  <c r="B235" i="167"/>
  <c r="B202" i="167"/>
  <c r="B204" i="167"/>
  <c r="B200" i="167"/>
  <c r="B198" i="167"/>
  <c r="B206" i="167"/>
  <c r="B201" i="167"/>
  <c r="B197" i="167"/>
  <c r="B203" i="167"/>
  <c r="B199" i="167"/>
  <c r="B205" i="167"/>
  <c r="E41" i="155"/>
  <c r="B217" i="167"/>
  <c r="B220" i="167"/>
  <c r="B213" i="167"/>
  <c r="B212" i="167"/>
  <c r="B215" i="167"/>
  <c r="B216" i="167"/>
  <c r="B221" i="167"/>
  <c r="B219" i="167"/>
  <c r="B218" i="167"/>
  <c r="B214" i="167"/>
  <c r="E35" i="155"/>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D44" i="64" s="1"/>
  <c r="E52" i="64"/>
  <c r="E48" i="64"/>
  <c r="E44" i="64"/>
  <c r="E40" i="64"/>
  <c r="D47" i="64"/>
  <c r="E36" i="64"/>
  <c r="C25" i="64"/>
  <c r="D28" i="64"/>
  <c r="D27" i="64"/>
  <c r="D26" i="64"/>
  <c r="E25" i="64"/>
  <c r="D25" i="64"/>
  <c r="D17" i="64"/>
  <c r="D16" i="64"/>
  <c r="D15" i="64"/>
  <c r="D14" i="64"/>
  <c r="E14" i="64"/>
  <c r="E81" i="64" s="1" a="1"/>
  <c r="E84" i="64" s="1"/>
  <c r="C14" i="64"/>
  <c r="D102" i="169" l="1"/>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25"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55"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30" i="164"/>
  <c r="D28" i="164"/>
  <c r="D26" i="164"/>
  <c r="D16" i="164"/>
  <c r="D14" i="164"/>
  <c r="D12" i="164"/>
  <c r="D10" i="164"/>
  <c r="E10" i="166"/>
  <c r="D31" i="164"/>
  <c r="D29" i="164"/>
  <c r="D27" i="164"/>
  <c r="D24" i="164"/>
  <c r="D15"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E60" i="165"/>
  <c r="E59" i="165" s="1"/>
  <c r="D65" i="165"/>
  <c r="D64" i="165"/>
  <c r="D63" i="165"/>
  <c r="D62" i="165"/>
  <c r="D61" i="165"/>
  <c r="D60" i="165"/>
  <c r="D59" i="165"/>
  <c r="D52" i="64" l="1"/>
  <c r="J8" i="172"/>
  <c r="E33" i="168"/>
  <c r="E22" i="168"/>
  <c r="J8" i="173"/>
  <c r="E71" i="169"/>
  <c r="J8" i="174"/>
  <c r="E134" i="169"/>
  <c r="E11" i="168"/>
  <c r="J8" i="175"/>
  <c r="E62" i="168"/>
  <c r="G8" i="177"/>
  <c r="G8" i="176"/>
  <c r="J8" i="170"/>
  <c r="J8" i="171"/>
  <c r="E8" i="169"/>
  <c r="E88" i="168"/>
  <c r="D50" i="64"/>
  <c r="B8" i="174"/>
  <c r="B8" i="169"/>
  <c r="B88" i="168"/>
  <c r="B8" i="175"/>
  <c r="B8" i="177"/>
  <c r="B8" i="176"/>
  <c r="B33" i="168"/>
  <c r="B22" i="168"/>
  <c r="B8" i="170"/>
  <c r="B71" i="169"/>
  <c r="B134" i="169"/>
  <c r="B11" i="168"/>
  <c r="B8" i="171"/>
  <c r="B8" i="172"/>
  <c r="B62" i="168"/>
  <c r="B8" i="173"/>
  <c r="C127" i="165"/>
  <c r="C119" i="165"/>
  <c r="C111" i="165"/>
  <c r="C95" i="165"/>
  <c r="C79" i="165"/>
  <c r="C103" i="165"/>
  <c r="C87" i="165"/>
  <c r="C88" i="168"/>
  <c r="C33" i="168"/>
  <c r="C71" i="169"/>
  <c r="C22" i="168"/>
  <c r="C11" i="168"/>
  <c r="C134" i="169"/>
  <c r="C62" i="168"/>
  <c r="C8" i="169"/>
  <c r="C123" i="165"/>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B9" i="49"/>
  <c r="G29" i="162" l="1"/>
  <c r="G31" i="162" s="1"/>
  <c r="F10" i="162"/>
  <c r="E12" i="165"/>
  <c r="E17" i="165"/>
  <c r="E23" i="165"/>
  <c r="E28" i="165"/>
  <c r="E34" i="165"/>
  <c r="E39" i="165"/>
  <c r="E45" i="165"/>
  <c r="E49" i="165"/>
  <c r="E53" i="165"/>
  <c r="C1" i="165"/>
  <c r="B5" i="54"/>
  <c r="E115" i="165"/>
  <c r="E111" i="165"/>
  <c r="E107" i="165"/>
  <c r="E101" i="165"/>
  <c r="E96" i="165"/>
  <c r="E90" i="165"/>
  <c r="E85" i="165"/>
  <c r="E79" i="165"/>
  <c r="E74" i="165"/>
  <c r="E63" i="50"/>
  <c r="B3" i="54"/>
  <c r="B4" i="54"/>
  <c r="F88" i="54"/>
  <c r="C38" i="50"/>
  <c r="C40" i="50"/>
  <c r="C41" i="50"/>
  <c r="C48" i="50"/>
  <c r="C55" i="50"/>
  <c r="C56" i="50"/>
  <c r="I613" i="154"/>
  <c r="E22" i="50" s="1"/>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M13" i="161" s="1"/>
  <c r="M12" i="161" s="1"/>
  <c r="E11" i="162" s="1"/>
  <c r="E10" i="162" s="1"/>
  <c r="E24" i="161"/>
  <c r="E29" i="161"/>
  <c r="E34" i="161"/>
  <c r="M39" i="161"/>
  <c r="E13" i="162" s="1"/>
  <c r="E52" i="161"/>
  <c r="E56" i="161"/>
  <c r="M53" i="161"/>
  <c r="M54" i="161"/>
  <c r="M55" i="161"/>
  <c r="E67" i="161"/>
  <c r="F67" i="161"/>
  <c r="G67" i="161"/>
  <c r="H67" i="161"/>
  <c r="I67" i="161"/>
  <c r="J67" i="161"/>
  <c r="K67" i="161"/>
  <c r="L67" i="161"/>
  <c r="M68" i="161"/>
  <c r="E23" i="162" s="1"/>
  <c r="E22" i="162" s="1"/>
  <c r="M69" i="161"/>
  <c r="M70" i="161"/>
  <c r="M71" i="161"/>
  <c r="E24" i="162" s="1"/>
  <c r="M72" i="161"/>
  <c r="E25" i="162" s="1"/>
  <c r="M73" i="161"/>
  <c r="E26" i="162" s="1"/>
  <c r="F24" i="163"/>
  <c r="C610" i="160"/>
  <c r="C610" i="150"/>
  <c r="E73" i="165"/>
  <c r="E95" i="165"/>
  <c r="E12" i="161" l="1"/>
  <c r="M52" i="161"/>
  <c r="E16" i="162" s="1"/>
  <c r="E15" i="162" s="1"/>
  <c r="E51" i="161"/>
  <c r="E23" i="161"/>
  <c r="E106" i="165"/>
  <c r="F27" i="162"/>
  <c r="F29" i="162" s="1"/>
  <c r="F31" i="162" s="1"/>
  <c r="M51" i="161"/>
  <c r="M11" i="161"/>
  <c r="E84" i="165"/>
  <c r="E22" i="165"/>
  <c r="E11" i="165"/>
  <c r="E72" i="165"/>
  <c r="E33" i="165"/>
  <c r="C610" i="146"/>
  <c r="M67" i="161"/>
  <c r="C610" i="149"/>
  <c r="C610" i="147"/>
  <c r="E44" i="165"/>
  <c r="E23" i="50"/>
  <c r="E54" i="50" s="1"/>
  <c r="E11" i="161" l="1"/>
  <c r="E29" i="64"/>
  <c r="E10" i="165"/>
  <c r="E51" i="50"/>
  <c r="E17" i="50"/>
  <c r="E16" i="50" s="1"/>
  <c r="E56" i="50"/>
  <c r="E53" i="50"/>
  <c r="E55" i="50"/>
  <c r="E52" i="50"/>
  <c r="E50" i="50"/>
  <c r="E13" i="50" l="1"/>
  <c r="E12" i="50" s="1"/>
  <c r="E39" i="50" s="1"/>
  <c r="E134" i="165" a="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<sst xmlns="http://schemas.openxmlformats.org/spreadsheetml/2006/main" count="3912" uniqueCount="288">
  <si>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</si>
  <si>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</si>
  <si>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</si>
  <si>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</si>
  <si>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</si>
  <si>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</si>
  <si>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</si>
  <si>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</si>
  <si>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</si>
  <si>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</si>
  <si>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</si>
  <si>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</si>
  <si>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</si>
  <si>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</si>
  <si>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</si>
  <si>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</si>
  <si>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</si>
  <si>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</si>
  <si>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</si>
  <si>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</si>
  <si>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</si>
  <si>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</si>
  <si>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</si>
  <si>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</si>
  <si>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</si>
  <si>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</si>
  <si>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</si>
  <si>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</si>
  <si>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</si>
  <si>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</si>
  <si>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</si>
  <si>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</si>
  <si>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</si>
  <si>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</si>
  <si>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</si>
  <si>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</si>
  <si>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</si>
  <si>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</si>
  <si>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</si>
  <si>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</si>
  <si>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</si>
  <si>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</si>
  <si>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</si>
  <si>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</si>
  <si>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</si>
  <si>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</si>
  <si>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</si>
  <si>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</si>
  <si>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</si>
  <si>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</si>
  <si>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</si>
  <si>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</si>
  <si>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</si>
  <si>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</si>
  <si>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</si>
  <si>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</si>
  <si>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</si>
  <si>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</si>
  <si>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</si>
  <si>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</si>
  <si>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</si>
  <si>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</si>
  <si>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</si>
  <si>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</si>
  <si>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</si>
  <si>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</si>
  <si>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</si>
  <si>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</si>
  <si>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</si>
  <si>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</si>
  <si>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</si>
  <si>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</si>
  <si>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</si>
  <si>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</si>
  <si>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</si>
  <si>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</si>
  <si>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</si>
  <si>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</si>
  <si>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</si>
  <si>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</si>
  <si>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</si>
  <si>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</si>
  <si>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</si>
  <si>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</si>
  <si>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</si>
  <si>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</si>
  <si>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</si>
  <si>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</si>
  <si>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</si>
  <si>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</si>
  <si>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</si>
  <si>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</si>
  <si>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</si>
  <si>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</si>
  <si>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</si>
  <si>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</si>
  <si>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</si>
  <si>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</si>
  <si>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</si>
  <si>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</si>
  <si>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</si>
  <si>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</si>
  <si>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</si>
  <si>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</si>
  <si>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</si>
  <si>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</si>
  <si>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</si>
  <si>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</si>
  <si>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Liczba odbiorców</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</si>
  <si>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</si>
  <si>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</si>
  <si>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</si>
  <si>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</si>
  <si>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</si>
  <si>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</si>
  <si>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</si>
  <si>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</si>
  <si>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</si>
  <si>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</si>
  <si>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</si>
  <si>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</si>
  <si>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</si>
  <si>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</si>
  <si>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</si>
  <si>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</si>
  <si>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</si>
  <si>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</si>
  <si>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</si>
  <si>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</si>
  <si>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</si>
  <si>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</si>
  <si>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</si>
  <si>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</si>
  <si>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</si>
  <si>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</si>
  <si>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</si>
  <si>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</si>
  <si>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</si>
  <si>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</si>
  <si>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</si>
  <si>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</si>
  <si>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</si>
  <si>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</si>
  <si>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</si>
  <si>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</si>
  <si>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</si>
  <si>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</si>
  <si>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</si>
  <si>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</si>
  <si>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</si>
  <si>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</si>
  <si>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</si>
  <si>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</si>
  <si>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</si>
  <si>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</si>
  <si>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</si>
  <si>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</si>
  <si>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</si>
  <si>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</si>
  <si>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</si>
  <si>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</si>
  <si>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</si>
  <si>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</si>
  <si>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</si>
  <si>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</si>
  <si>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</si>
  <si>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</si>
  <si>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</si>
  <si>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</si>
  <si>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</si>
  <si>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</si>
  <si>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</si>
  <si>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</si>
  <si>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</si>
  <si>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</si>
  <si>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</si>
  <si>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</si>
  <si>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</si>
  <si>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</si>
  <si>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</si>
  <si>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</si>
  <si>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</si>
  <si>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</si>
  <si>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</si>
  <si>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</si>
  <si>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</si>
  <si>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</si>
  <si>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</si>
  <si>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</si>
  <si>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</si>
  <si>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</si>
  <si>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</si>
  <si>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Tabela G17. Wiek majątku oraz potrzeba jego odtworzenia i modernizacji</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</si>
  <si>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</si>
  <si>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</si>
  <si>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</si>
  <si>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</si>
  <si>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</si>
  <si>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</si>
  <si>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</si>
  <si>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</si>
  <si>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</si>
  <si>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</si>
  <si>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</si>
  <si>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</si>
  <si>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</si>
  <si>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</si>
  <si>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</si>
  <si>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</si>
  <si>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</si>
  <si>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</si>
  <si>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</si>
  <si>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</si>
  <si>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</si>
  <si>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</si>
  <si>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</si>
  <si>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</si>
  <si>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</si>
  <si>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</si>
  <si>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</si>
  <si>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</si>
  <si>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</si>
  <si>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</si>
  <si>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</si>
  <si>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</si>
  <si>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Wolumen dystrybuowanych paliw gazowych</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</si>
  <si>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</si>
  <si>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</si>
  <si>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</si>
  <si>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</si>
  <si>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</si>
  <si>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</si>
  <si>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</si>
  <si>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</si>
  <si>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</si>
  <si>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</si>
  <si>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</si>
  <si>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</si>
  <si>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</si>
  <si>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</si>
  <si>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</si>
  <si>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</si>
  <si>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</si>
  <si>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</si>
  <si>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</si>
  <si>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</si>
  <si>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</si>
  <si>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</si>
  <si>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</si>
  <si>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</si>
  <si>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</si>
  <si>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</si>
  <si>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</si>
  <si>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</si>
  <si>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</si>
  <si>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</si>
  <si>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</si>
  <si>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</si>
  <si>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</si>
  <si>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</si>
  <si>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</si>
  <si>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</si>
  <si>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</si>
  <si>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</si>
  <si>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</si>
  <si>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</si>
  <si>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</si>
  <si>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</si>
  <si>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</si>
  <si>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</si>
  <si>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</si>
  <si>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</si>
  <si>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</si>
  <si>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</si>
  <si>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</si>
  <si>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</si>
  <si>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</si>
  <si>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</si>
  <si>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</si>
  <si>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</si>
  <si>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</si>
  <si>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</si>
  <si>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</si>
  <si>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</si>
  <si>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100 &lt; DN[mm]</t>
  </si>
  <si>
    <t>300 &lt; Q[m³/h]</t>
  </si>
  <si>
    <t>100 &lt; Q[m³/h] ≤ 300</t>
  </si>
  <si>
    <t>Q[m³/h]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</si>
</sst>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z_ł_-;\-* #,##0\ _z_ł_-;_-* &quot;-&quot;\ _z_ł_-;_-@_-"/>
    <numFmt numFmtId="165" formatCode="_-* #,##0.00\ _z_ł_-;\-* #,##0.00\ _z_ł_-;_-* &quot;-&quot;??\ _z_ł_-;_-@_-"/>
    <numFmt numFmtId="166" formatCode="#,##0.0"/>
    <numFmt numFmtId="167" formatCode="0.0%"/>
    <numFmt numFmtId="168" formatCode="_-* #,##0.0\ _z_ł_-;\-* #,##0.0\ _z_ł_-;_-* &quot;-&quot;?\ _z_ł_-;_-@_-"/>
  </numFmts>
  <fonts count="76">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25">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8" fillId="25" borderId="0" xfId="70" applyFont="1" applyFill="1" applyBorder="1"/>
    <xf numFmtId="3" fontId="43" fillId="25" borderId="0" xfId="70" applyNumberFormat="1" applyFont="1" applyFill="1" applyBorder="1" applyAlignment="1"/>
    <xf numFmtId="3" fontId="43" fillId="25" borderId="0" xfId="70" applyNumberFormat="1" applyFont="1" applyFill="1" applyBorder="1"/>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6"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6"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6"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6"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6"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165" fontId="41" fillId="24" borderId="47" xfId="0" applyNumberFormat="1" applyFont="1" applyFill="1" applyBorder="1" applyAlignment="1">
      <alignment vertical="center"/>
    </xf>
    <xf numFmtId="165" fontId="41" fillId="0" borderId="47" xfId="0" applyNumberFormat="1" applyFont="1" applyBorder="1" applyAlignment="1">
      <alignment vertical="center"/>
    </xf>
    <xf numFmtId="165" fontId="41" fillId="0" borderId="88" xfId="0" applyNumberFormat="1" applyFont="1" applyBorder="1" applyAlignment="1">
      <alignment vertical="center"/>
    </xf>
    <xf numFmtId="165" fontId="41" fillId="0" borderId="110" xfId="0" applyNumberFormat="1" applyFont="1" applyBorder="1" applyAlignment="1">
      <alignment vertical="center"/>
    </xf>
    <xf numFmtId="165" fontId="41" fillId="0" borderId="111" xfId="0" applyNumberFormat="1" applyFont="1" applyBorder="1" applyAlignment="1">
      <alignment vertical="center"/>
    </xf>
    <xf numFmtId="165" fontId="41" fillId="0" borderId="112" xfId="0" applyNumberFormat="1" applyFont="1" applyBorder="1" applyAlignment="1">
      <alignment vertical="center"/>
    </xf>
    <xf numFmtId="165" fontId="41" fillId="0" borderId="44" xfId="0" applyNumberFormat="1" applyFont="1" applyBorder="1" applyAlignment="1">
      <alignment vertical="center"/>
    </xf>
    <xf numFmtId="165" fontId="41" fillId="0" borderId="113" xfId="0" applyNumberFormat="1" applyFont="1" applyBorder="1" applyAlignment="1">
      <alignment vertical="center"/>
    </xf>
    <xf numFmtId="165"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7"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6" fontId="38" fillId="24" borderId="90" xfId="0" applyNumberFormat="1" applyFont="1" applyFill="1" applyBorder="1" applyAlignment="1">
      <alignment horizontal="right" vertical="center"/>
    </xf>
    <xf numFmtId="167"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6" fontId="49" fillId="0" borderId="44" xfId="0" applyNumberFormat="1" applyFont="1" applyBorder="1" applyAlignment="1">
      <alignment horizontal="right" vertical="center" wrapText="1"/>
    </xf>
    <xf numFmtId="167"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6" fontId="41" fillId="0" borderId="44" xfId="0" applyNumberFormat="1" applyFont="1" applyBorder="1" applyAlignment="1">
      <alignment horizontal="right" vertical="center" wrapText="1"/>
    </xf>
    <xf numFmtId="167"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6"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6"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6"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7" fontId="38" fillId="24" borderId="90" xfId="0" applyNumberFormat="1" applyFont="1" applyFill="1" applyBorder="1" applyAlignment="1">
      <alignment horizontal="right" vertical="center"/>
    </xf>
    <xf numFmtId="167"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7" fontId="55" fillId="0" borderId="44" xfId="0" applyNumberFormat="1" applyFont="1" applyBorder="1" applyAlignment="1">
      <alignment horizontal="right" vertical="center" wrapText="1"/>
    </xf>
    <xf numFmtId="167" fontId="55" fillId="25" borderId="0" xfId="0" applyNumberFormat="1" applyFont="1" applyFill="1" applyBorder="1" applyAlignment="1">
      <alignment horizontal="right" vertical="center" wrapText="1"/>
    </xf>
    <xf numFmtId="167"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7"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7"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6"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165"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165"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8"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8"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8" fontId="38" fillId="0" borderId="139" xfId="66" applyNumberFormat="1" applyFont="1" applyBorder="1" applyAlignment="1">
      <alignment horizontal="right" vertical="center"/>
    </xf>
    <xf numFmtId="168" fontId="38" fillId="0" borderId="143" xfId="66" applyNumberFormat="1" applyFont="1" applyBorder="1" applyAlignment="1">
      <alignment horizontal="right" vertical="center"/>
    </xf>
    <xf numFmtId="164" fontId="38" fillId="30" borderId="154" xfId="0" applyNumberFormat="1" applyFont="1" applyFill="1" applyBorder="1" applyAlignment="1">
      <alignment vertical="center"/>
    </xf>
    <xf numFmtId="164" fontId="38" fillId="30" borderId="155" xfId="0" applyNumberFormat="1" applyFont="1" applyFill="1" applyBorder="1" applyAlignment="1">
      <alignment vertical="center"/>
    </xf>
    <xf numFmtId="164" fontId="38" fillId="30" borderId="156" xfId="0" applyNumberFormat="1" applyFont="1" applyFill="1" applyBorder="1" applyAlignment="1">
      <alignment vertical="center"/>
    </xf>
    <xf numFmtId="164"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164"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164" fontId="38" fillId="30" borderId="159" xfId="0" applyNumberFormat="1" applyFont="1" applyFill="1" applyBorder="1" applyAlignment="1">
      <alignment vertical="center"/>
    </xf>
    <xf numFmtId="168" fontId="38" fillId="30" borderId="154" xfId="0" applyNumberFormat="1" applyFont="1" applyFill="1" applyBorder="1" applyAlignment="1">
      <alignment vertical="center"/>
    </xf>
    <xf numFmtId="168" fontId="38" fillId="30" borderId="155" xfId="0" applyNumberFormat="1" applyFont="1" applyFill="1" applyBorder="1" applyAlignment="1">
      <alignment vertical="center"/>
    </xf>
    <xf numFmtId="168" fontId="38" fillId="30" borderId="156" xfId="0" applyNumberFormat="1" applyFont="1" applyFill="1" applyBorder="1" applyAlignment="1">
      <alignment vertical="center"/>
    </xf>
    <xf numFmtId="168" fontId="36" fillId="31" borderId="158" xfId="66" applyNumberFormat="1" applyFont="1" applyFill="1" applyBorder="1" applyAlignment="1">
      <alignment vertical="center"/>
    </xf>
    <xf numFmtId="168"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164"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164"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164"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164" fontId="36" fillId="29" borderId="47" xfId="62" applyNumberFormat="1" applyFont="1" applyFill="1" applyBorder="1" applyAlignment="1">
      <alignment vertical="center"/>
    </xf>
    <xf numFmtId="164" fontId="38" fillId="33" borderId="84" xfId="62" applyNumberFormat="1" applyFont="1" applyFill="1" applyBorder="1" applyAlignment="1">
      <alignment vertical="center"/>
    </xf>
    <xf numFmtId="164" fontId="38" fillId="33" borderId="72" xfId="62" applyNumberFormat="1" applyFont="1" applyFill="1" applyBorder="1" applyAlignment="1">
      <alignment vertical="center"/>
    </xf>
    <xf numFmtId="164" fontId="38" fillId="33" borderId="85" xfId="62" applyNumberFormat="1" applyFont="1" applyFill="1" applyBorder="1" applyAlignment="1">
      <alignment vertical="center"/>
    </xf>
    <xf numFmtId="164" fontId="36" fillId="29" borderId="83" xfId="62" applyNumberFormat="1" applyFont="1" applyFill="1" applyBorder="1" applyAlignment="1">
      <alignment vertical="center"/>
    </xf>
    <xf numFmtId="164" fontId="38" fillId="0" borderId="16" xfId="62" applyNumberFormat="1" applyFont="1" applyBorder="1" applyAlignment="1">
      <alignment vertical="center"/>
    </xf>
    <xf numFmtId="164" fontId="38" fillId="0" borderId="170" xfId="62" applyNumberFormat="1" applyFont="1" applyBorder="1" applyAlignment="1">
      <alignment vertical="center"/>
    </xf>
    <xf numFmtId="164" fontId="38" fillId="0" borderId="171" xfId="62" applyNumberFormat="1" applyFont="1" applyBorder="1" applyAlignment="1">
      <alignment vertical="center"/>
    </xf>
    <xf numFmtId="164" fontId="36" fillId="29" borderId="110" xfId="62" applyNumberFormat="1" applyFont="1" applyFill="1" applyBorder="1" applyAlignment="1">
      <alignment vertical="center"/>
    </xf>
    <xf numFmtId="164" fontId="38" fillId="0" borderId="19" xfId="62" applyNumberFormat="1" applyFont="1" applyBorder="1" applyAlignment="1">
      <alignment vertical="center"/>
    </xf>
    <xf numFmtId="164" fontId="38" fillId="0" borderId="172" xfId="62" applyNumberFormat="1" applyFont="1" applyBorder="1" applyAlignment="1">
      <alignment vertical="center"/>
    </xf>
    <xf numFmtId="164" fontId="38" fillId="0" borderId="173" xfId="62" applyNumberFormat="1" applyFont="1" applyBorder="1" applyAlignment="1">
      <alignment vertical="center"/>
    </xf>
    <xf numFmtId="164" fontId="36" fillId="29" borderId="111" xfId="62" applyNumberFormat="1" applyFont="1" applyFill="1" applyBorder="1" applyAlignment="1">
      <alignment vertical="center"/>
    </xf>
    <xf numFmtId="164" fontId="38" fillId="0" borderId="22" xfId="62" applyNumberFormat="1" applyFont="1" applyBorder="1" applyAlignment="1">
      <alignment vertical="center"/>
    </xf>
    <xf numFmtId="164" fontId="38" fillId="0" borderId="174" xfId="62" applyNumberFormat="1" applyFont="1" applyBorder="1" applyAlignment="1">
      <alignment vertical="center"/>
    </xf>
    <xf numFmtId="164" fontId="38" fillId="0" borderId="175" xfId="62" applyNumberFormat="1" applyFont="1" applyBorder="1" applyAlignment="1">
      <alignment vertical="center"/>
    </xf>
    <xf numFmtId="164" fontId="36" fillId="29" borderId="112" xfId="62" applyNumberFormat="1" applyFont="1" applyFill="1" applyBorder="1" applyAlignment="1">
      <alignment vertical="center"/>
    </xf>
    <xf numFmtId="164" fontId="38" fillId="33" borderId="31" xfId="62" applyNumberFormat="1" applyFont="1" applyFill="1" applyBorder="1" applyAlignment="1">
      <alignment vertical="center"/>
    </xf>
    <xf numFmtId="164" fontId="38" fillId="33" borderId="32" xfId="62" applyNumberFormat="1" applyFont="1" applyFill="1" applyBorder="1" applyAlignment="1">
      <alignment vertical="center"/>
    </xf>
    <xf numFmtId="164" fontId="38" fillId="33" borderId="114" xfId="62" applyNumberFormat="1" applyFont="1" applyFill="1" applyBorder="1" applyAlignment="1">
      <alignment vertical="center"/>
    </xf>
    <xf numFmtId="164" fontId="36" fillId="29" borderId="90" xfId="62" applyNumberFormat="1" applyFont="1" applyFill="1" applyBorder="1" applyAlignment="1">
      <alignment vertical="center"/>
    </xf>
    <xf numFmtId="164" fontId="38" fillId="0" borderId="16" xfId="62" applyNumberFormat="1" applyFont="1" applyFill="1" applyBorder="1" applyAlignment="1">
      <alignment vertical="center"/>
    </xf>
    <xf numFmtId="164" fontId="38" fillId="0" borderId="17" xfId="62" applyNumberFormat="1" applyFont="1" applyFill="1" applyBorder="1" applyAlignment="1">
      <alignment vertical="center"/>
    </xf>
    <xf numFmtId="164" fontId="38" fillId="0" borderId="178" xfId="62" applyNumberFormat="1" applyFont="1" applyFill="1" applyBorder="1" applyAlignment="1">
      <alignment vertical="center"/>
    </xf>
    <xf numFmtId="164" fontId="38" fillId="0" borderId="19" xfId="62" applyNumberFormat="1" applyFont="1" applyFill="1" applyBorder="1" applyAlignment="1">
      <alignment vertical="center"/>
    </xf>
    <xf numFmtId="164" fontId="38" fillId="0" borderId="20" xfId="62" applyNumberFormat="1" applyFont="1" applyFill="1" applyBorder="1" applyAlignment="1">
      <alignment vertical="center"/>
    </xf>
    <xf numFmtId="164" fontId="38" fillId="0" borderId="179" xfId="62" applyNumberFormat="1" applyFont="1" applyFill="1" applyBorder="1" applyAlignment="1">
      <alignment vertical="center"/>
    </xf>
    <xf numFmtId="164" fontId="38" fillId="0" borderId="22" xfId="62" applyNumberFormat="1" applyFont="1" applyFill="1" applyBorder="1" applyAlignment="1">
      <alignment vertical="center"/>
    </xf>
    <xf numFmtId="164" fontId="38" fillId="0" borderId="23" xfId="62" applyNumberFormat="1" applyFont="1" applyFill="1" applyBorder="1" applyAlignment="1">
      <alignment vertical="center"/>
    </xf>
    <xf numFmtId="164" fontId="38" fillId="0" borderId="180" xfId="62" applyNumberFormat="1" applyFont="1" applyFill="1" applyBorder="1" applyAlignment="1">
      <alignment vertical="center"/>
    </xf>
    <xf numFmtId="164" fontId="38" fillId="33" borderId="25" xfId="62" applyNumberFormat="1" applyFont="1" applyFill="1" applyBorder="1" applyAlignment="1">
      <alignment vertical="center"/>
    </xf>
    <xf numFmtId="164" fontId="38" fillId="33" borderId="26" xfId="62" applyNumberFormat="1" applyFont="1" applyFill="1" applyBorder="1" applyAlignment="1">
      <alignment vertical="center"/>
    </xf>
    <xf numFmtId="164" fontId="38" fillId="33" borderId="98" xfId="62" applyNumberFormat="1" applyFont="1" applyFill="1" applyBorder="1" applyAlignment="1">
      <alignment vertical="center"/>
    </xf>
    <xf numFmtId="164" fontId="36" fillId="29" borderId="44" xfId="62" applyNumberFormat="1" applyFont="1" applyFill="1" applyBorder="1" applyAlignment="1">
      <alignment vertical="center"/>
    </xf>
    <xf numFmtId="164" fontId="38" fillId="33" borderId="34" xfId="62" applyNumberFormat="1" applyFont="1" applyFill="1" applyBorder="1" applyAlignment="1">
      <alignment vertical="center"/>
    </xf>
    <xf numFmtId="164" fontId="38" fillId="33" borderId="35" xfId="62" applyNumberFormat="1" applyFont="1" applyFill="1" applyBorder="1" applyAlignment="1">
      <alignment vertical="center"/>
    </xf>
    <xf numFmtId="164" fontId="38" fillId="33" borderId="99" xfId="62" applyNumberFormat="1" applyFont="1" applyFill="1" applyBorder="1" applyAlignment="1">
      <alignment vertical="center"/>
    </xf>
    <xf numFmtId="164" fontId="36" fillId="29" borderId="61" xfId="62" applyNumberFormat="1" applyFont="1" applyFill="1" applyBorder="1" applyAlignment="1">
      <alignment vertical="center"/>
    </xf>
    <xf numFmtId="164" fontId="38" fillId="33" borderId="97" xfId="62" applyNumberFormat="1" applyFont="1" applyFill="1" applyBorder="1" applyAlignment="1">
      <alignment vertical="center"/>
    </xf>
    <xf numFmtId="164" fontId="38" fillId="33" borderId="67" xfId="62" applyNumberFormat="1" applyFont="1" applyFill="1" applyBorder="1" applyAlignment="1">
      <alignment vertical="center"/>
    </xf>
    <xf numFmtId="164" fontId="38" fillId="33" borderId="96" xfId="62" applyNumberFormat="1" applyFont="1" applyFill="1" applyBorder="1" applyAlignment="1">
      <alignment vertical="center"/>
    </xf>
    <xf numFmtId="164" fontId="36" fillId="29" borderId="48" xfId="62" applyNumberFormat="1" applyFont="1" applyFill="1" applyBorder="1" applyAlignment="1">
      <alignment vertical="center"/>
    </xf>
    <xf numFmtId="164" fontId="38" fillId="0" borderId="17" xfId="62" applyNumberFormat="1" applyFont="1" applyBorder="1" applyAlignment="1">
      <alignment vertical="center"/>
    </xf>
    <xf numFmtId="164" fontId="38" fillId="0" borderId="178" xfId="62" applyNumberFormat="1" applyFont="1" applyBorder="1" applyAlignment="1">
      <alignment vertical="center"/>
    </xf>
    <xf numFmtId="164" fontId="38" fillId="0" borderId="23" xfId="62" applyNumberFormat="1" applyFont="1" applyBorder="1" applyAlignment="1">
      <alignment vertical="center"/>
    </xf>
    <xf numFmtId="164" fontId="38" fillId="0" borderId="180" xfId="62" applyNumberFormat="1" applyFont="1" applyBorder="1" applyAlignment="1">
      <alignment vertical="center"/>
    </xf>
    <xf numFmtId="164" fontId="38" fillId="33" borderId="92" xfId="62" applyNumberFormat="1" applyFont="1" applyFill="1" applyBorder="1" applyAlignment="1">
      <alignment vertical="center"/>
    </xf>
    <xf numFmtId="164" fontId="38" fillId="33" borderId="94" xfId="62" applyNumberFormat="1" applyFont="1" applyFill="1" applyBorder="1" applyAlignment="1">
      <alignment vertical="center"/>
    </xf>
    <xf numFmtId="164" fontId="38" fillId="33" borderId="60" xfId="62" applyNumberFormat="1" applyFont="1" applyFill="1" applyBorder="1" applyAlignment="1">
      <alignment vertical="center"/>
    </xf>
    <xf numFmtId="168" fontId="36" fillId="29" borderId="83" xfId="62" applyNumberFormat="1" applyFont="1" applyFill="1" applyBorder="1" applyAlignment="1">
      <alignment vertical="center"/>
    </xf>
    <xf numFmtId="168" fontId="38" fillId="33" borderId="10" xfId="62" applyNumberFormat="1" applyFont="1" applyFill="1" applyBorder="1" applyAlignment="1">
      <alignment vertical="center"/>
    </xf>
    <xf numFmtId="168" fontId="38" fillId="33" borderId="11" xfId="62" applyNumberFormat="1" applyFont="1" applyFill="1" applyBorder="1" applyAlignment="1">
      <alignment vertical="center"/>
    </xf>
    <xf numFmtId="168" fontId="38" fillId="33" borderId="86" xfId="62" applyNumberFormat="1" applyFont="1" applyFill="1" applyBorder="1" applyAlignment="1">
      <alignment vertical="center"/>
    </xf>
    <xf numFmtId="168" fontId="36" fillId="29" borderId="47" xfId="62" applyNumberFormat="1" applyFont="1" applyFill="1" applyBorder="1" applyAlignment="1">
      <alignment vertical="center"/>
    </xf>
    <xf numFmtId="168" fontId="38" fillId="26" borderId="31" xfId="62" applyNumberFormat="1" applyFont="1" applyFill="1" applyBorder="1" applyAlignment="1">
      <alignment vertical="center"/>
    </xf>
    <xf numFmtId="168" fontId="38" fillId="26" borderId="168" xfId="62" applyNumberFormat="1" applyFont="1" applyFill="1" applyBorder="1" applyAlignment="1">
      <alignment vertical="center"/>
    </xf>
    <xf numFmtId="168" fontId="38" fillId="26" borderId="0" xfId="62" applyNumberFormat="1" applyFont="1" applyFill="1" applyBorder="1" applyAlignment="1">
      <alignment vertical="center"/>
    </xf>
    <xf numFmtId="168" fontId="38" fillId="0" borderId="16" xfId="62" applyNumberFormat="1" applyFont="1" applyBorder="1" applyAlignment="1">
      <alignment vertical="center"/>
    </xf>
    <xf numFmtId="168" fontId="38" fillId="0" borderId="170" xfId="62" applyNumberFormat="1" applyFont="1" applyBorder="1" applyAlignment="1">
      <alignment vertical="center"/>
    </xf>
    <xf numFmtId="168" fontId="38" fillId="0" borderId="171" xfId="62" applyNumberFormat="1" applyFont="1" applyBorder="1" applyAlignment="1">
      <alignment vertical="center"/>
    </xf>
    <xf numFmtId="168" fontId="36" fillId="29" borderId="110" xfId="62" applyNumberFormat="1" applyFont="1" applyFill="1" applyBorder="1" applyAlignment="1">
      <alignment vertical="center"/>
    </xf>
    <xf numFmtId="168" fontId="38" fillId="0" borderId="19" xfId="62" applyNumberFormat="1" applyFont="1" applyBorder="1" applyAlignment="1">
      <alignment vertical="center"/>
    </xf>
    <xf numFmtId="168" fontId="38" fillId="0" borderId="172" xfId="62" applyNumberFormat="1" applyFont="1" applyBorder="1" applyAlignment="1">
      <alignment vertical="center"/>
    </xf>
    <xf numFmtId="168" fontId="38" fillId="0" borderId="173" xfId="62" applyNumberFormat="1" applyFont="1" applyBorder="1" applyAlignment="1">
      <alignment vertical="center"/>
    </xf>
    <xf numFmtId="168" fontId="36" fillId="29" borderId="111" xfId="62" applyNumberFormat="1" applyFont="1" applyFill="1" applyBorder="1" applyAlignment="1">
      <alignment vertical="center"/>
    </xf>
    <xf numFmtId="168" fontId="38" fillId="0" borderId="22" xfId="62" applyNumberFormat="1" applyFont="1" applyBorder="1" applyAlignment="1">
      <alignment vertical="center"/>
    </xf>
    <xf numFmtId="168" fontId="38" fillId="0" borderId="174" xfId="62" applyNumberFormat="1" applyFont="1" applyBorder="1" applyAlignment="1">
      <alignment vertical="center"/>
    </xf>
    <xf numFmtId="168" fontId="38" fillId="0" borderId="175" xfId="62" applyNumberFormat="1" applyFont="1" applyBorder="1" applyAlignment="1">
      <alignment vertical="center"/>
    </xf>
    <xf numFmtId="168" fontId="36" fillId="29" borderId="112" xfId="62" applyNumberFormat="1" applyFont="1" applyFill="1" applyBorder="1" applyAlignment="1">
      <alignment vertical="center"/>
    </xf>
    <xf numFmtId="168" fontId="36" fillId="29" borderId="90" xfId="62" applyNumberFormat="1" applyFont="1" applyFill="1" applyBorder="1" applyAlignment="1">
      <alignment vertical="center"/>
    </xf>
    <xf numFmtId="168" fontId="38" fillId="0" borderId="28" xfId="62" applyNumberFormat="1" applyFont="1" applyBorder="1" applyAlignment="1">
      <alignment vertical="center"/>
    </xf>
    <xf numFmtId="168" fontId="38" fillId="0" borderId="176" xfId="62" applyNumberFormat="1" applyFont="1" applyBorder="1" applyAlignment="1">
      <alignment vertical="center"/>
    </xf>
    <xf numFmtId="168" fontId="38" fillId="0" borderId="177" xfId="62" applyNumberFormat="1" applyFont="1" applyBorder="1" applyAlignment="1">
      <alignment vertical="center"/>
    </xf>
    <xf numFmtId="168" fontId="36" fillId="29" borderId="113" xfId="62" applyNumberFormat="1" applyFont="1" applyFill="1" applyBorder="1" applyAlignment="1">
      <alignment vertical="center"/>
    </xf>
    <xf numFmtId="168" fontId="38" fillId="33" borderId="93" xfId="62" applyNumberFormat="1" applyFont="1" applyFill="1" applyBorder="1" applyAlignment="1">
      <alignment vertical="center"/>
    </xf>
    <xf numFmtId="168" fontId="38" fillId="33" borderId="57" xfId="62" applyNumberFormat="1" applyFont="1" applyFill="1" applyBorder="1" applyAlignment="1">
      <alignment vertical="center"/>
    </xf>
    <xf numFmtId="168" fontId="38" fillId="29" borderId="31" xfId="62" applyNumberFormat="1" applyFont="1" applyFill="1" applyBorder="1" applyAlignment="1">
      <alignment vertical="center"/>
    </xf>
    <xf numFmtId="168" fontId="38" fillId="29" borderId="168" xfId="62" applyNumberFormat="1" applyFont="1" applyFill="1" applyBorder="1" applyAlignment="1">
      <alignment vertical="center"/>
    </xf>
    <xf numFmtId="168" fontId="38" fillId="29" borderId="0" xfId="62" applyNumberFormat="1" applyFont="1" applyFill="1" applyBorder="1" applyAlignment="1">
      <alignment vertical="center"/>
    </xf>
    <xf numFmtId="168" fontId="38" fillId="0" borderId="16" xfId="62" applyNumberFormat="1" applyFont="1" applyFill="1" applyBorder="1" applyAlignment="1">
      <alignment vertical="center"/>
    </xf>
    <xf numFmtId="168" fontId="38" fillId="0" borderId="170" xfId="62" applyNumberFormat="1" applyFont="1" applyFill="1" applyBorder="1" applyAlignment="1">
      <alignment vertical="center"/>
    </xf>
    <xf numFmtId="168" fontId="38" fillId="0" borderId="171" xfId="62" applyNumberFormat="1" applyFont="1" applyFill="1" applyBorder="1" applyAlignment="1">
      <alignment vertical="center"/>
    </xf>
    <xf numFmtId="168" fontId="38" fillId="0" borderId="19" xfId="62" applyNumberFormat="1" applyFont="1" applyFill="1" applyBorder="1" applyAlignment="1">
      <alignment vertical="center"/>
    </xf>
    <xf numFmtId="168" fontId="38" fillId="0" borderId="172" xfId="62" applyNumberFormat="1" applyFont="1" applyFill="1" applyBorder="1" applyAlignment="1">
      <alignment vertical="center"/>
    </xf>
    <xf numFmtId="168" fontId="38" fillId="0" borderId="173" xfId="62" applyNumberFormat="1" applyFont="1" applyFill="1" applyBorder="1" applyAlignment="1">
      <alignment vertical="center"/>
    </xf>
    <xf numFmtId="168" fontId="38" fillId="0" borderId="22" xfId="62" applyNumberFormat="1" applyFont="1" applyFill="1" applyBorder="1" applyAlignment="1">
      <alignment vertical="center"/>
    </xf>
    <xf numFmtId="168" fontId="38" fillId="0" borderId="174" xfId="62" applyNumberFormat="1" applyFont="1" applyFill="1" applyBorder="1" applyAlignment="1">
      <alignment vertical="center"/>
    </xf>
    <xf numFmtId="168" fontId="38" fillId="0" borderId="175" xfId="62" applyNumberFormat="1" applyFont="1" applyFill="1" applyBorder="1" applyAlignment="1">
      <alignment vertical="center"/>
    </xf>
    <xf numFmtId="168" fontId="38" fillId="0" borderId="28" xfId="62" applyNumberFormat="1" applyFont="1" applyFill="1" applyBorder="1" applyAlignment="1">
      <alignment vertical="center"/>
    </xf>
    <xf numFmtId="168" fontId="38" fillId="0" borderId="176" xfId="62" applyNumberFormat="1" applyFont="1" applyFill="1" applyBorder="1" applyAlignment="1">
      <alignment vertical="center"/>
    </xf>
    <xf numFmtId="168"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25" xfId="75" applyFont="1" applyFill="1" applyBorder="1" applyAlignment="1">
      <alignment horizontal="center" vertical="center" wrapText="1"/>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6"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164" fontId="36" fillId="33" borderId="12" xfId="75" applyNumberFormat="1" applyFont="1" applyFill="1" applyBorder="1" applyAlignment="1">
      <alignment horizontal="right" vertical="center"/>
    </xf>
    <xf numFmtId="164" fontId="38" fillId="0" borderId="27" xfId="75" applyNumberFormat="1" applyFont="1" applyFill="1" applyBorder="1" applyAlignment="1">
      <alignment vertical="center"/>
    </xf>
    <xf numFmtId="164" fontId="38" fillId="0" borderId="120" xfId="75" applyNumberFormat="1" applyFont="1" applyFill="1" applyBorder="1" applyAlignment="1">
      <alignment vertical="center"/>
    </xf>
    <xf numFmtId="164" fontId="36" fillId="33" borderId="12" xfId="75" applyNumberFormat="1" applyFont="1" applyFill="1" applyBorder="1" applyAlignment="1">
      <alignment vertical="center"/>
    </xf>
    <xf numFmtId="164" fontId="38" fillId="0" borderId="109" xfId="75" applyNumberFormat="1" applyFont="1" applyFill="1" applyBorder="1" applyAlignment="1">
      <alignment vertical="center"/>
    </xf>
    <xf numFmtId="164" fontId="38" fillId="0" borderId="36" xfId="75" applyNumberFormat="1" applyFont="1" applyFill="1" applyBorder="1" applyAlignment="1">
      <alignment vertical="center"/>
    </xf>
    <xf numFmtId="168" fontId="36" fillId="33" borderId="12" xfId="75" applyNumberFormat="1" applyFont="1" applyFill="1" applyBorder="1" applyAlignment="1">
      <alignment horizontal="right" vertical="center"/>
    </xf>
    <xf numFmtId="168" fontId="38" fillId="0" borderId="15" xfId="75" applyNumberFormat="1" applyFont="1" applyFill="1" applyBorder="1" applyAlignment="1">
      <alignment horizontal="right" vertical="center"/>
    </xf>
    <xf numFmtId="168" fontId="38" fillId="0" borderId="120" xfId="75" applyNumberFormat="1" applyFont="1" applyFill="1" applyBorder="1" applyAlignment="1">
      <alignment horizontal="right" vertical="center"/>
    </xf>
    <xf numFmtId="168" fontId="36" fillId="33" borderId="93" xfId="75" applyNumberFormat="1" applyFont="1" applyFill="1" applyBorder="1" applyAlignment="1">
      <alignment horizontal="right" vertical="center"/>
    </xf>
    <xf numFmtId="168" fontId="36" fillId="33" borderId="65" xfId="75" applyNumberFormat="1" applyFont="1" applyFill="1" applyBorder="1" applyAlignment="1">
      <alignment horizontal="right" vertical="center"/>
    </xf>
    <xf numFmtId="168" fontId="38" fillId="0" borderId="89" xfId="75" applyNumberFormat="1" applyFont="1" applyFill="1" applyBorder="1" applyAlignment="1">
      <alignment horizontal="right" vertical="center"/>
    </xf>
    <xf numFmtId="168" fontId="38" fillId="0" borderId="123" xfId="75" applyNumberFormat="1" applyFont="1" applyFill="1" applyBorder="1" applyAlignment="1">
      <alignment horizontal="right" vertical="center"/>
    </xf>
    <xf numFmtId="168" fontId="38" fillId="0" borderId="182" xfId="75" applyNumberFormat="1" applyFont="1" applyFill="1" applyBorder="1" applyAlignment="1">
      <alignment horizontal="right" vertical="center"/>
    </xf>
    <xf numFmtId="168" fontId="38" fillId="0" borderId="70" xfId="75" applyNumberFormat="1" applyFont="1" applyFill="1" applyBorder="1" applyAlignment="1">
      <alignment horizontal="right" vertical="center"/>
    </xf>
    <xf numFmtId="168" fontId="38" fillId="0" borderId="92" xfId="75" applyNumberFormat="1" applyFont="1" applyFill="1" applyBorder="1" applyAlignment="1">
      <alignment horizontal="right" vertical="center"/>
    </xf>
    <xf numFmtId="168" fontId="38" fillId="0" borderId="69" xfId="75" applyNumberFormat="1" applyFont="1" applyFill="1" applyBorder="1" applyAlignment="1">
      <alignment horizontal="right" vertical="center"/>
    </xf>
    <xf numFmtId="168" fontId="38" fillId="0" borderId="97" xfId="75" applyNumberFormat="1" applyFont="1" applyFill="1" applyBorder="1" applyAlignment="1">
      <alignment horizontal="right" vertical="center"/>
    </xf>
    <xf numFmtId="168" fontId="38" fillId="0" borderId="68" xfId="75" applyNumberFormat="1" applyFont="1" applyFill="1" applyBorder="1" applyAlignment="1">
      <alignment horizontal="right" vertical="center"/>
    </xf>
    <xf numFmtId="168" fontId="38" fillId="0" borderId="94" xfId="75" applyNumberFormat="1" applyFont="1" applyFill="1" applyBorder="1" applyAlignment="1">
      <alignment horizontal="right" vertical="center"/>
    </xf>
    <xf numFmtId="168" fontId="38" fillId="0" borderId="181" xfId="75" applyNumberFormat="1" applyFont="1" applyFill="1" applyBorder="1" applyAlignment="1">
      <alignment horizontal="right" vertical="center"/>
    </xf>
    <xf numFmtId="168" fontId="36" fillId="32" borderId="75" xfId="75" applyNumberFormat="1" applyFont="1" applyFill="1" applyBorder="1" applyAlignment="1">
      <alignment horizontal="right" vertical="center"/>
    </xf>
    <xf numFmtId="168" fontId="38" fillId="0" borderId="168" xfId="75" applyNumberFormat="1" applyFont="1" applyFill="1" applyBorder="1" applyAlignment="1">
      <alignment horizontal="right" vertical="center"/>
    </xf>
    <xf numFmtId="168" fontId="38" fillId="0" borderId="76" xfId="75" applyNumberFormat="1" applyFont="1" applyFill="1" applyBorder="1" applyAlignment="1">
      <alignment horizontal="right" vertical="center"/>
    </xf>
    <xf numFmtId="168" fontId="36" fillId="32" borderId="77" xfId="75" applyNumberFormat="1" applyFont="1" applyFill="1" applyBorder="1" applyAlignment="1">
      <alignment horizontal="right" vertical="center"/>
    </xf>
    <xf numFmtId="168" fontId="38" fillId="0" borderId="93" xfId="75" applyNumberFormat="1" applyFont="1" applyFill="1" applyBorder="1" applyAlignment="1">
      <alignment horizontal="right" vertical="center"/>
    </xf>
    <xf numFmtId="168" fontId="38" fillId="0" borderId="65" xfId="75" applyNumberFormat="1" applyFont="1" applyFill="1" applyBorder="1" applyAlignment="1">
      <alignment horizontal="right" vertical="center"/>
    </xf>
    <xf numFmtId="168" fontId="36" fillId="32" borderId="169" xfId="75" applyNumberFormat="1" applyFont="1" applyFill="1" applyBorder="1" applyAlignment="1">
      <alignment horizontal="right" vertical="center"/>
    </xf>
    <xf numFmtId="168" fontId="36" fillId="32" borderId="80" xfId="75" applyNumberFormat="1" applyFont="1" applyFill="1" applyBorder="1" applyAlignment="1">
      <alignment horizontal="right" vertical="center"/>
    </xf>
    <xf numFmtId="166" fontId="38" fillId="0" borderId="184" xfId="66" applyNumberFormat="1" applyFont="1" applyFill="1" applyBorder="1" applyAlignment="1" applyProtection="1">
      <alignment horizontal="right"/>
      <protection locked="0"/>
    </xf>
    <xf numFmtId="166" fontId="50" fillId="0" borderId="46" xfId="66" applyNumberFormat="1" applyFont="1" applyBorder="1" applyAlignment="1">
      <alignment horizontal="right"/>
    </xf>
    <xf numFmtId="166" fontId="50" fillId="0" borderId="38" xfId="66" applyNumberFormat="1" applyFont="1" applyBorder="1" applyAlignment="1">
      <alignment horizontal="right"/>
    </xf>
    <xf numFmtId="166" fontId="50" fillId="0" borderId="58" xfId="66" applyNumberFormat="1" applyFont="1" applyBorder="1" applyAlignment="1">
      <alignment horizontal="right"/>
    </xf>
    <xf numFmtId="166" fontId="50" fillId="0" borderId="185" xfId="66" applyNumberFormat="1" applyFont="1" applyBorder="1" applyAlignment="1">
      <alignment horizontal="right"/>
    </xf>
    <xf numFmtId="166" fontId="38" fillId="0" borderId="145" xfId="66" applyNumberFormat="1" applyFont="1" applyFill="1" applyBorder="1" applyAlignment="1" applyProtection="1">
      <alignment horizontal="right"/>
      <protection locked="0"/>
    </xf>
    <xf numFmtId="166" fontId="50" fillId="0" borderId="190" xfId="66" applyNumberFormat="1" applyFont="1" applyBorder="1" applyAlignment="1">
      <alignment horizontal="right"/>
    </xf>
    <xf numFmtId="166" fontId="36" fillId="32" borderId="58" xfId="66" applyNumberFormat="1" applyFont="1" applyFill="1" applyBorder="1" applyAlignment="1" applyProtection="1">
      <alignment horizontal="right" vertical="center" wrapText="1"/>
      <protection locked="0"/>
    </xf>
    <xf numFmtId="166" fontId="50" fillId="0" borderId="192" xfId="66" applyNumberFormat="1" applyFont="1" applyBorder="1" applyAlignment="1">
      <alignment horizontal="right"/>
    </xf>
    <xf numFmtId="166"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8" fontId="38" fillId="32" borderId="10" xfId="62" applyNumberFormat="1" applyFont="1" applyFill="1" applyBorder="1" applyAlignment="1">
      <alignment vertical="center"/>
    </xf>
    <xf numFmtId="168" fontId="38" fillId="32" borderId="11" xfId="62" applyNumberFormat="1" applyFont="1" applyFill="1" applyBorder="1" applyAlignment="1">
      <alignment vertical="center"/>
    </xf>
    <xf numFmtId="168"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164" fontId="38" fillId="32" borderId="10" xfId="62" applyNumberFormat="1" applyFont="1" applyFill="1" applyBorder="1" applyAlignment="1">
      <alignment vertical="center"/>
    </xf>
    <xf numFmtId="164" fontId="38" fillId="32" borderId="93" xfId="62" applyNumberFormat="1" applyFont="1" applyFill="1" applyBorder="1" applyAlignment="1">
      <alignment vertical="center"/>
    </xf>
    <xf numFmtId="164"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164" fontId="38" fillId="32" borderId="11" xfId="62" applyNumberFormat="1" applyFont="1" applyFill="1" applyBorder="1" applyAlignment="1">
      <alignment vertical="center"/>
    </xf>
    <xf numFmtId="164"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0" borderId="94" xfId="0" quotePrefix="1" applyNumberFormat="1" applyFont="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164"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8"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8"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8"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8"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8"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8"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165"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6"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7"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7" fontId="43" fillId="30" borderId="0" xfId="0" applyNumberFormat="1" applyFont="1" applyFill="1" applyBorder="1" applyAlignment="1">
      <alignment horizontal="right" vertical="center"/>
    </xf>
    <xf numFmtId="167" fontId="38" fillId="30" borderId="0" xfId="0" applyNumberFormat="1" applyFont="1" applyFill="1" applyBorder="1" applyAlignment="1">
      <alignment horizontal="right" vertical="center"/>
    </xf>
    <xf numFmtId="166" fontId="49" fillId="30" borderId="0" xfId="0" applyNumberFormat="1" applyFont="1" applyFill="1" applyBorder="1" applyAlignment="1">
      <alignment horizontal="right" vertical="center" wrapText="1"/>
    </xf>
    <xf numFmtId="166" fontId="41" fillId="30" borderId="0" xfId="0" applyNumberFormat="1" applyFont="1" applyFill="1" applyBorder="1" applyAlignment="1">
      <alignment horizontal="right" vertical="center" wrapText="1"/>
    </xf>
    <xf numFmtId="166"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6"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98"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165" fontId="50" fillId="0" borderId="217" xfId="0" applyNumberFormat="1" applyFont="1" applyBorder="1" applyAlignment="1" applyProtection="1">
      <alignment vertical="center"/>
      <protection locked="0"/>
    </xf>
    <xf numFmtId="165" fontId="50" fillId="0" borderId="162" xfId="0" applyNumberFormat="1" applyFont="1" applyBorder="1" applyAlignment="1" applyProtection="1">
      <alignment vertical="center"/>
      <protection locked="0"/>
    </xf>
    <xf numFmtId="165" fontId="50" fillId="0" borderId="218" xfId="0" applyNumberFormat="1" applyFont="1" applyBorder="1" applyAlignment="1" applyProtection="1">
      <alignment vertical="center"/>
      <protection locked="0"/>
    </xf>
    <xf numFmtId="165" fontId="50" fillId="36" borderId="219" xfId="0" applyNumberFormat="1" applyFont="1" applyFill="1" applyBorder="1" applyAlignment="1" applyProtection="1">
      <alignment vertical="center"/>
      <protection locked="0"/>
    </xf>
    <xf numFmtId="164" fontId="50" fillId="36" borderId="112" xfId="0" applyNumberFormat="1" applyFont="1" applyFill="1" applyBorder="1" applyAlignment="1" applyProtection="1">
      <alignment vertical="center"/>
      <protection locked="0"/>
    </xf>
    <xf numFmtId="165"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164" fontId="50" fillId="0" borderId="22" xfId="0" applyNumberFormat="1" applyFont="1" applyBorder="1" applyAlignment="1" applyProtection="1">
      <alignment vertical="center"/>
      <protection locked="0"/>
    </xf>
    <xf numFmtId="164" fontId="50" fillId="0" borderId="23" xfId="0" applyNumberFormat="1" applyFont="1" applyBorder="1" applyAlignment="1" applyProtection="1">
      <alignment vertical="center"/>
      <protection locked="0"/>
    </xf>
    <xf numFmtId="164"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165" fontId="50" fillId="36" borderId="34" xfId="0" applyNumberFormat="1" applyFont="1" applyFill="1" applyBorder="1" applyAlignment="1" applyProtection="1">
      <alignment vertical="center"/>
      <protection locked="0"/>
    </xf>
    <xf numFmtId="165" fontId="50" fillId="36" borderId="35" xfId="0" applyNumberFormat="1" applyFont="1" applyFill="1" applyBorder="1" applyAlignment="1" applyProtection="1">
      <alignment vertical="center"/>
      <protection locked="0"/>
    </xf>
    <xf numFmtId="165" fontId="50" fillId="36" borderId="99"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14" fontId="47" fillId="25" borderId="54" xfId="0" applyFont="1" applyFill="1" applyBorder="1" applyAlignment="1">
      <alignment horizontal="justify" vertical="center"/>
    </xf>
    <xf numFmtId="14" fontId="47" fillId="25" borderId="220" xfId="0" applyFont="1" applyFill="1" applyBorder="1" applyAlignment="1">
      <alignment horizontal="justify"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2"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164" fontId="47" fillId="25" borderId="223" xfId="0" applyNumberFormat="1" applyFont="1" applyFill="1" applyBorder="1" applyAlignment="1">
      <alignment vertical="center"/>
    </xf>
    <xf numFmtId="164" fontId="47" fillId="24" borderId="39" xfId="0" applyNumberFormat="1" applyFont="1" applyFill="1" applyBorder="1" applyAlignment="1">
      <alignment vertical="center"/>
    </xf>
    <xf numFmtId="164" fontId="47" fillId="25" borderId="39" xfId="0" applyNumberFormat="1" applyFont="1" applyFill="1" applyBorder="1" applyAlignment="1">
      <alignment horizontal="right" vertical="center"/>
    </xf>
    <xf numFmtId="164" fontId="50" fillId="24" borderId="39" xfId="0" applyNumberFormat="1" applyFont="1" applyFill="1" applyBorder="1" applyAlignment="1">
      <alignment vertical="center"/>
    </xf>
    <xf numFmtId="164" fontId="47" fillId="25" borderId="41" xfId="0" applyNumberFormat="1" applyFont="1" applyFill="1" applyBorder="1" applyAlignment="1">
      <alignment horizontal="right" vertical="center"/>
    </xf>
    <xf numFmtId="164" fontId="47" fillId="25" borderId="167" xfId="0" applyNumberFormat="1" applyFont="1" applyFill="1" applyBorder="1" applyAlignment="1">
      <alignment horizontal="right" vertical="center"/>
    </xf>
    <xf numFmtId="164" fontId="47" fillId="25" borderId="224"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221"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6" xfId="0" applyNumberFormat="1" applyFont="1" applyFill="1" applyBorder="1" applyAlignment="1">
      <alignment horizontal="center" vertical="center"/>
    </xf>
    <xf numFmtId="0" fontId="73" fillId="25" borderId="227"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8" xfId="0" applyNumberFormat="1" applyFont="1" applyFill="1" applyBorder="1" applyAlignment="1">
      <alignment horizontal="center" vertical="center"/>
    </xf>
    <xf numFmtId="0" fontId="73" fillId="25" borderId="50" xfId="0" applyNumberFormat="1" applyFont="1" applyFill="1" applyBorder="1" applyAlignment="1">
      <alignment horizontal="center" vertical="center"/>
    </xf>
    <xf numFmtId="0" fontId="73" fillId="25" borderId="229"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6"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6"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6"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6"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6" fontId="42" fillId="30" borderId="0" xfId="66" applyNumberFormat="1" applyFont="1" applyFill="1" applyBorder="1" applyAlignment="1">
      <alignment horizontal="center" vertical="center"/>
    </xf>
    <xf numFmtId="166" fontId="55" fillId="30" borderId="0" xfId="66" applyNumberFormat="1" applyFont="1" applyFill="1" applyBorder="1" applyAlignment="1"/>
    <xf numFmtId="166"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6" fontId="41" fillId="30" borderId="0" xfId="66" applyNumberFormat="1" applyFont="1" applyFill="1" applyBorder="1" applyAlignment="1"/>
    <xf numFmtId="166"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6"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2" fillId="29" borderId="169" xfId="0" applyNumberFormat="1" applyFont="1" applyFill="1" applyBorder="1" applyAlignment="1">
      <alignment vertical="center"/>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59"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55" xfId="0" applyFont="1" applyFill="1" applyBorder="1" applyAlignment="1">
      <alignment horizontal="center" vertical="center"/>
    </xf>
    <xf numFmtId="14" fontId="36" fillId="29" borderId="69" xfId="0" applyFont="1" applyFill="1" applyBorder="1" applyAlignment="1">
      <alignment horizontal="center" vertical="center"/>
    </xf>
    <xf numFmtId="0" fontId="60" fillId="0" borderId="60" xfId="0" applyNumberFormat="1" applyFont="1" applyBorder="1" applyAlignment="1">
      <alignment horizontal="center" vertical="center"/>
    </xf>
    <xf numFmtId="14" fontId="36" fillId="29" borderId="96" xfId="0" applyFont="1" applyFill="1" applyBorder="1" applyAlignment="1">
      <alignment horizontal="center" vertical="center"/>
    </xf>
    <xf numFmtId="14" fontId="36" fillId="29" borderId="98"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0" applyNumberFormat="1" applyFont="1" applyFill="1" applyAlignment="1">
      <alignment horizontal="left" vertical="top" wrapText="1"/>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2" fontId="41" fillId="0" borderId="83" xfId="68" applyNumberFormat="1"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52"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52"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49" fontId="41" fillId="0" borderId="83" xfId="68" applyNumberFormat="1" applyFont="1" applyFill="1" applyBorder="1" applyAlignment="1">
      <alignment horizontal="left" vertical="center" wrapText="1"/>
    </xf>
    <xf numFmtId="0" fontId="41" fillId="0" borderId="88" xfId="61" applyNumberFormat="1" applyFont="1" applyBorder="1" applyAlignment="1">
      <alignment horizontal="center"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66" fontId="41" fillId="0" borderId="83" xfId="68" applyNumberFormat="1" applyFont="1" applyFill="1" applyBorder="1" applyAlignment="1">
      <alignment horizontal="right" vertical="center" wrapText="1"/>
    </xf>
    <xf numFmtId="166" fontId="41" fillId="0" borderId="90" xfId="61" applyNumberFormat="1" applyFont="1" applyBorder="1" applyAlignment="1">
      <alignment horizontal="right" vertical="center" wrapText="1"/>
    </xf>
    <xf numFmtId="166" fontId="41" fillId="0" borderId="88" xfId="61" applyNumberFormat="1" applyFont="1" applyBorder="1" applyAlignment="1">
      <alignment horizontal="right" vertical="center" wrapText="1"/>
    </xf>
    <xf numFmtId="166" fontId="41" fillId="0" borderId="83" xfId="61" applyNumberFormat="1" applyFont="1" applyBorder="1" applyAlignment="1">
      <alignment horizontal="right" vertical="center" wrapText="1"/>
    </xf>
    <xf numFmtId="166" fontId="41" fillId="0" borderId="90" xfId="0" applyNumberFormat="1" applyFont="1" applyBorder="1" applyAlignment="1">
      <alignment horizontal="right" vertical="center" wrapText="1"/>
    </xf>
    <xf numFmtId="166" fontId="41" fillId="0" borderId="52" xfId="0" applyNumberFormat="1" applyFont="1" applyBorder="1" applyAlignment="1">
      <alignment horizontal="right"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166" fontId="41" fillId="0" borderId="45" xfId="68" applyNumberFormat="1" applyFont="1" applyFill="1" applyBorder="1" applyAlignment="1">
      <alignment horizontal="right" vertical="center" wrapText="1"/>
    </xf>
    <xf numFmtId="166" fontId="41" fillId="0" borderId="90" xfId="68" applyNumberFormat="1" applyFont="1" applyFill="1" applyBorder="1" applyAlignment="1">
      <alignment horizontal="right" vertical="center" wrapText="1"/>
    </xf>
    <xf numFmtId="166" fontId="41" fillId="0" borderId="88" xfId="68" applyNumberFormat="1" applyFont="1" applyFill="1" applyBorder="1" applyAlignment="1">
      <alignment horizontal="right"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41" fillId="0" borderId="88" xfId="0" applyNumberFormat="1" applyFont="1" applyBorder="1" applyAlignment="1">
      <alignment horizontal="right" vertical="center" wrapText="1"/>
    </xf>
    <xf numFmtId="0" fontId="41" fillId="24" borderId="90" xfId="60" applyNumberFormat="1" applyFont="1" applyFill="1" applyBorder="1" applyAlignment="1">
      <alignment horizontal="center" vertical="center" wrapText="1"/>
    </xf>
    <xf numFmtId="0" fontId="41" fillId="0" borderId="45" xfId="69"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50" fillId="0" borderId="90" xfId="69" applyFont="1" applyFill="1" applyBorder="1" applyAlignment="1">
      <alignment horizontal="center"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0" borderId="0" xfId="0" applyNumberFormat="1" applyFont="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0" fillId="0" borderId="73" xfId="0" applyNumberFormat="1" applyBorder="1" applyAlignment="1">
      <alignment horizontal="center" vertical="center" wrapText="1"/>
    </xf>
    <xf numFmtId="0" fontId="0" fillId="0" borderId="91" xfId="0" applyNumberFormat="1" applyBorder="1" applyAlignment="1">
      <alignment horizontal="center" vertical="center" wrapText="1"/>
    </xf>
    <xf numFmtId="0" fontId="0" fillId="0" borderId="76" xfId="0" applyNumberFormat="1" applyBorder="1" applyAlignment="1">
      <alignment horizontal="center" vertical="center" wrapText="1"/>
    </xf>
    <xf numFmtId="0" fontId="36" fillId="0" borderId="71" xfId="0" applyNumberFormat="1" applyFont="1" applyBorder="1" applyAlignment="1">
      <alignment horizontal="center" vertical="center"/>
    </xf>
    <xf numFmtId="0" fontId="64" fillId="0" borderId="73" xfId="0" applyNumberFormat="1" applyFont="1" applyBorder="1" applyAlignment="1">
      <alignment horizontal="center" vertical="center"/>
    </xf>
    <xf numFmtId="49" fontId="50" fillId="0" borderId="72" xfId="66" applyNumberFormat="1" applyFont="1" applyBorder="1" applyAlignment="1">
      <alignment horizontal="left" vertical="center" indent="1"/>
    </xf>
    <xf numFmtId="0" fontId="0" fillId="0" borderId="32" xfId="0" applyNumberFormat="1" applyBorder="1" applyAlignment="1">
      <alignment horizontal="left" vertical="center" indent="1"/>
    </xf>
    <xf numFmtId="0" fontId="0" fillId="0" borderId="79" xfId="0" applyNumberFormat="1" applyBorder="1" applyAlignment="1">
      <alignment horizontal="left" vertical="center" indent="1"/>
    </xf>
    <xf numFmtId="14" fontId="36" fillId="32" borderId="11" xfId="75" applyFont="1" applyFill="1" applyBorder="1" applyAlignment="1">
      <alignment vertical="center"/>
    </xf>
    <xf numFmtId="0" fontId="66" fillId="30" borderId="0" xfId="0" applyNumberFormat="1" applyFont="1" applyFill="1" applyBorder="1" applyAlignment="1">
      <alignment vertical="top" wrapText="1"/>
    </xf>
    <xf numFmtId="0" fontId="67" fillId="32" borderId="11" xfId="0" applyNumberFormat="1" applyFont="1" applyFill="1" applyBorder="1" applyAlignment="1">
      <alignment vertical="center"/>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55" fillId="0" borderId="97" xfId="0" applyFont="1" applyFill="1" applyBorder="1" applyAlignment="1" applyProtection="1">
      <alignment horizontal="center" vertical="center"/>
      <protection locked="0"/>
    </xf>
    <xf numFmtId="14" fontId="50" fillId="0" borderId="67" xfId="0" applyFont="1" applyBorder="1" applyAlignment="1" applyProtection="1">
      <alignment horizontal="center" vertical="center"/>
      <protection locked="0"/>
    </xf>
    <xf numFmtId="14" fontId="50" fillId="0" borderId="96" xfId="0" applyFont="1" applyBorder="1" applyAlignment="1" applyProtection="1">
      <alignment vertical="center"/>
      <protection locked="0"/>
    </xf>
    <xf numFmtId="14" fontId="46" fillId="29" borderId="225"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cellXfs>
  <cellStyles count="84">
    <cellStyle name="_13_tabela_2C" xfId="1" xr:uid="{00000000-0005-0000-0000-000000000000}"/>
    <cellStyle name="_15_tabela_2D" xfId="2" xr:uid="{00000000-0005-0000-0000-000001000000}"/>
    <cellStyle name="_38_tabela_IV_4_C_6_Zakupy_dóbr" xfId="3" xr:uid="{00000000-0005-0000-0000-000002000000}"/>
    <cellStyle name="_wskaźniki makroekonomiczne_1" xfId="4" xr:uid="{00000000-0005-0000-0000-000003000000}"/>
    <cellStyle name="_zestawienie majątku_energia 16.03" xfId="5" xr:uid="{00000000-0005-0000-0000-000004000000}"/>
    <cellStyle name="20% - Accent1" xfId="6" xr:uid="{00000000-0005-0000-0000-000005000000}"/>
    <cellStyle name="20% - Accent2" xfId="7" xr:uid="{00000000-0005-0000-0000-000006000000}"/>
    <cellStyle name="20% - Accent3" xfId="8" xr:uid="{00000000-0005-0000-0000-000007000000}"/>
    <cellStyle name="20% - Accent4" xfId="9" xr:uid="{00000000-0005-0000-0000-000008000000}"/>
    <cellStyle name="20% - Accent5" xfId="10" xr:uid="{00000000-0005-0000-0000-000009000000}"/>
    <cellStyle name="20% - Accent6" xfId="11" xr:uid="{00000000-0005-0000-0000-00000A000000}"/>
    <cellStyle name="40% - Accent1" xfId="12" xr:uid="{00000000-0005-0000-0000-00000B000000}"/>
    <cellStyle name="40% - Accent2" xfId="13" xr:uid="{00000000-0005-0000-0000-00000C000000}"/>
    <cellStyle name="40% - Accent3" xfId="14" xr:uid="{00000000-0005-0000-0000-00000D000000}"/>
    <cellStyle name="40% - Accent4" xfId="15" xr:uid="{00000000-0005-0000-0000-00000E000000}"/>
    <cellStyle name="40% - Accent5" xfId="16" xr:uid="{00000000-0005-0000-0000-00000F000000}"/>
    <cellStyle name="40% - Accent6" xfId="17" xr:uid="{00000000-0005-0000-0000-000010000000}"/>
    <cellStyle name="60% - Accent1" xfId="18" xr:uid="{00000000-0005-0000-0000-000011000000}"/>
    <cellStyle name="60% - Accent2" xfId="19" xr:uid="{00000000-0005-0000-0000-000012000000}"/>
    <cellStyle name="60% - Accent3" xfId="20" xr:uid="{00000000-0005-0000-0000-000013000000}"/>
    <cellStyle name="60% - Accent4" xfId="21" xr:uid="{00000000-0005-0000-0000-000014000000}"/>
    <cellStyle name="60% - Accent5" xfId="22" xr:uid="{00000000-0005-0000-0000-000015000000}"/>
    <cellStyle name="60% - Accent6" xfId="23" xr:uid="{00000000-0005-0000-0000-000016000000}"/>
    <cellStyle name="Accent1" xfId="24" xr:uid="{00000000-0005-0000-0000-000017000000}"/>
    <cellStyle name="Accent2" xfId="25" xr:uid="{00000000-0005-0000-0000-000018000000}"/>
    <cellStyle name="Accent3" xfId="26" xr:uid="{00000000-0005-0000-0000-000019000000}"/>
    <cellStyle name="Accent4" xfId="27" xr:uid="{00000000-0005-0000-0000-00001A000000}"/>
    <cellStyle name="Accent5" xfId="28" xr:uid="{00000000-0005-0000-0000-00001B000000}"/>
    <cellStyle name="Accent6" xfId="29" xr:uid="{00000000-0005-0000-0000-00001C000000}"/>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xr:uid="{00000000-0005-0000-0000-000023000000}"/>
    <cellStyle name="Calculation" xfId="37" xr:uid="{00000000-0005-0000-0000-000024000000}"/>
    <cellStyle name="Check Cell" xfId="38" xr:uid="{00000000-0005-0000-0000-000025000000}"/>
    <cellStyle name="Dane wejściowe" xfId="39" builtinId="20" customBuiltin="1"/>
    <cellStyle name="Dane wyjściowe" xfId="40" builtinId="21" customBuiltin="1"/>
    <cellStyle name="Explanatory Text" xfId="41" xr:uid="{00000000-0005-0000-0000-000028000000}"/>
    <cellStyle name="Good" xfId="42" xr:uid="{00000000-0005-0000-0000-000029000000}"/>
    <cellStyle name="Heading 1" xfId="43" xr:uid="{00000000-0005-0000-0000-00002A000000}"/>
    <cellStyle name="Heading 2" xfId="44" xr:uid="{00000000-0005-0000-0000-00002B000000}"/>
    <cellStyle name="Heading 3" xfId="45" xr:uid="{00000000-0005-0000-0000-00002C000000}"/>
    <cellStyle name="Heading 4" xfId="46" xr:uid="{00000000-0005-0000-0000-00002D000000}"/>
    <cellStyle name="Hiperłącze" xfId="47" builtinId="8" customBuiltin="1"/>
    <cellStyle name="Input" xfId="48" xr:uid="{00000000-0005-0000-0000-00002F000000}"/>
    <cellStyle name="Komórka połączona" xfId="49" builtinId="24" customBuiltin="1"/>
    <cellStyle name="Komórka zaznaczona" xfId="50" builtinId="23" customBuiltin="1"/>
    <cellStyle name="Linked Cell" xfId="51" xr:uid="{00000000-0005-0000-0000-000032000000}"/>
    <cellStyle name="Nagłówek 1" xfId="52" builtinId="16" customBuiltin="1"/>
    <cellStyle name="Nagłówek 2" xfId="53" builtinId="17" customBuiltin="1"/>
    <cellStyle name="Nagłówek 3" xfId="54" builtinId="18" customBuiltin="1"/>
    <cellStyle name="Nagłówek 4" xfId="55" builtinId="19" customBuiltin="1"/>
    <cellStyle name="Neutral" xfId="56" xr:uid="{00000000-0005-0000-0000-000037000000}"/>
    <cellStyle name="Normal_BSheetCF" xfId="57" xr:uid="{00000000-0005-0000-0000-000038000000}"/>
    <cellStyle name="Normalny" xfId="0" builtinId="0" customBuiltin="1"/>
    <cellStyle name="Normalny 2" xfId="58" xr:uid="{00000000-0005-0000-0000-00003A000000}"/>
    <cellStyle name="Normalny_Arkusz1_Zeszyt1" xfId="59" xr:uid="{00000000-0005-0000-0000-00003B000000}"/>
    <cellStyle name="Normalny_Moduł_plan inwestycyjny_energia_29_04" xfId="60" xr:uid="{00000000-0005-0000-0000-00003C000000}"/>
    <cellStyle name="Normalny_Moduł_plan inwestycyjny_energia_30_04" xfId="61" xr:uid="{00000000-0005-0000-0000-00003D000000}"/>
    <cellStyle name="Normalny_Moduł_plan inwestycyjny_raport_energia_zmiany_3" xfId="62" xr:uid="{00000000-0005-0000-0000-00003E000000}"/>
    <cellStyle name="Normalny_PR 2009-2013 TABELA 3A 2008.07.21 z danymi Mirka" xfId="63" xr:uid="{00000000-0005-0000-0000-00003F000000}"/>
    <cellStyle name="Normalny_PR 2009-2013 TABELA 3A 2008.07.21 z danymi Mirka_4_Modul_raport_wykonanie_gaz_2009_07_20" xfId="64" xr:uid="{00000000-0005-0000-0000-000040000000}"/>
    <cellStyle name="Normalny_PR 2009-2013 ZGB" xfId="65" xr:uid="{00000000-0005-0000-0000-000041000000}"/>
    <cellStyle name="Normalny_PR_2008-2011_ENEA_Operator_tabele_ po wezwaniu URE" xfId="66" xr:uid="{00000000-0005-0000-0000-000042000000}"/>
    <cellStyle name="Normalny_Tab. do III.4.A1. do Planu Rozwoju 2008-2011" xfId="67" xr:uid="{00000000-0005-0000-0000-000043000000}"/>
    <cellStyle name="Normalny_Tabela do punktu III.4.C.1. - Łączność" xfId="68" xr:uid="{00000000-0005-0000-0000-000044000000}"/>
    <cellStyle name="Normalny_Tabela zbiorcza do punktu III.4.A.1" xfId="69" xr:uid="{00000000-0005-0000-0000-000045000000}"/>
    <cellStyle name="Normalny_zestawienie majątku_energia 16.03" xfId="70" xr:uid="{00000000-0005-0000-0000-000046000000}"/>
    <cellStyle name="Normalny_Zeszyt1" xfId="71" xr:uid="{00000000-0005-0000-0000-000047000000}"/>
    <cellStyle name="Note" xfId="72" xr:uid="{00000000-0005-0000-0000-000048000000}"/>
    <cellStyle name="Obliczenia" xfId="73" builtinId="22" customBuiltin="1"/>
    <cellStyle name="Output" xfId="74" xr:uid="{00000000-0005-0000-0000-00004A000000}"/>
    <cellStyle name="Styl 1" xfId="75" xr:uid="{00000000-0005-0000-0000-00004B000000}"/>
    <cellStyle name="Suma" xfId="76" builtinId="25" customBuiltin="1"/>
    <cellStyle name="Tekst objaśnienia" xfId="77" builtinId="53" customBuiltin="1"/>
    <cellStyle name="Tekst ostrzeżenia" xfId="78" builtinId="11" customBuiltin="1"/>
    <cellStyle name="Title" xfId="79" xr:uid="{00000000-0005-0000-0000-00004F000000}"/>
    <cellStyle name="Total" xfId="80" xr:uid="{00000000-0005-0000-0000-000050000000}"/>
    <cellStyle name="Tytuł" xfId="81" builtinId="15" customBuiltin="1"/>
    <cellStyle name="Uwaga" xfId="82" builtinId="10" customBuiltin="1"/>
    <cellStyle name="Warning Text" xfId="83" xr:uid="{00000000-0005-0000-0000-00005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a:extLst>
                <a:ext uri="{FF2B5EF4-FFF2-40B4-BE49-F238E27FC236}">
                  <a16:creationId xmlns:a16="http://schemas.microsoft.com/office/drawing/2014/main" id="{00000000-0008-0000-2000-000002000000}"/>
                </a:ext>
              </a:extLst>
            </xdr:cNvPr>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a:extLst>
                <a:ext uri="{FF2B5EF4-FFF2-40B4-BE49-F238E27FC236}">
                  <a16:creationId xmlns:a16="http://schemas.microsoft.com/office/drawing/2014/main" id="{00000000-0008-0000-2000-000003000000}"/>
                </a:ext>
              </a:extLst>
            </xdr:cNvPr>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a:extLst>
                <a:ext uri="{FF2B5EF4-FFF2-40B4-BE49-F238E27FC236}">
                  <a16:creationId xmlns:a16="http://schemas.microsoft.com/office/drawing/2014/main" id="{00000000-0008-0000-2000-000004000000}"/>
                </a:ext>
              </a:extLst>
            </xdr:cNvPr>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3">
    <pageSetUpPr fitToPage="1"/>
  </sheetPr>
  <dimension ref="A1:O23"/>
  <sheetViews>
    <sheetView topLeftCell="A16" zoomScaleNormal="75" workbookViewId="0">
      <selection activeCell="B14" sqref="B14:K14"/>
    </sheetView>
  </sheetViews>
  <sheetFormatPr defaultColWidth="8.90625" defaultRowHeight="15"/>
  <cols>
    <col min="1" max="1" width="3.81640625" style="20" customWidth="1"/>
    <col min="2" max="2" width="38.08984375" style="20" customWidth="1"/>
    <col min="3" max="3" width="4.90625" style="20" customWidth="1"/>
    <col min="4" max="4" width="6.36328125" style="20" customWidth="1"/>
    <col min="5" max="5" width="15.81640625" style="20" customWidth="1"/>
    <col min="6" max="6" width="15.36328125" style="20" customWidth="1"/>
    <col min="7" max="7" width="15.81640625" style="20" customWidth="1"/>
    <col min="8" max="8" width="13.81640625" style="20" customWidth="1"/>
    <col min="9" max="10" width="8.90625" style="20"/>
    <col min="11" max="11" width="16.453125" style="20" customWidth="1"/>
    <col min="12" max="16384" width="8.9062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982" t="s">
        <v>40</v>
      </c>
      <c r="B7" s="982"/>
      <c r="C7" s="982"/>
      <c r="D7" s="982"/>
      <c r="E7" s="982"/>
      <c r="F7" s="982"/>
      <c r="G7" s="982"/>
      <c r="H7" s="982"/>
      <c r="I7" s="26"/>
      <c r="J7" s="26"/>
      <c r="K7" s="26"/>
    </row>
    <row r="8" spans="1:15" ht="21.75" customHeight="1">
      <c r="A8" s="982" t="s">
        <v>16</v>
      </c>
      <c r="B8" s="983"/>
      <c r="C8" s="983"/>
      <c r="D8" s="983"/>
      <c r="E8" s="983"/>
      <c r="F8" s="983"/>
      <c r="G8" s="983"/>
      <c r="H8" s="983"/>
      <c r="I8" s="26"/>
      <c r="J8" s="26"/>
      <c r="K8" s="26"/>
    </row>
    <row r="9" spans="1:15" ht="21" thickBot="1">
      <c r="A9" s="25"/>
      <c r="B9" s="982" t="str">
        <f>"za "&amp;Rok_ZPR&amp;" r."</f>
        <v>za 2020 r.</v>
      </c>
      <c r="C9" s="982"/>
      <c r="D9" s="982"/>
      <c r="E9" s="982"/>
      <c r="F9" s="982"/>
      <c r="G9" s="982"/>
      <c r="H9" s="982"/>
      <c r="I9" s="26"/>
      <c r="J9" s="26"/>
      <c r="K9" s="26"/>
    </row>
    <row r="10" spans="1:15" ht="27.75" customHeight="1" thickTop="1" thickBot="1">
      <c r="A10" s="25"/>
      <c r="B10" s="25" t="s">
        <v>0</v>
      </c>
      <c r="C10" s="25"/>
      <c r="D10" s="984"/>
      <c r="E10" s="985"/>
      <c r="F10" s="985"/>
      <c r="G10" s="986"/>
      <c r="H10" s="25"/>
      <c r="I10" s="26"/>
      <c r="J10" s="26"/>
      <c r="K10" s="26"/>
    </row>
    <row r="11" spans="1:15" ht="15.6" thickTop="1">
      <c r="A11" s="26"/>
      <c r="B11" s="26"/>
      <c r="C11" s="26"/>
      <c r="D11" s="26"/>
      <c r="E11" s="26"/>
      <c r="F11" s="26"/>
      <c r="G11" s="26"/>
      <c r="H11" s="26"/>
      <c r="I11" s="26"/>
      <c r="J11" s="26"/>
      <c r="K11" s="26"/>
    </row>
    <row r="12" spans="1:15" ht="17.399999999999999">
      <c r="A12" s="27"/>
      <c r="B12" s="28" t="s">
        <v>17</v>
      </c>
      <c r="C12" s="28"/>
      <c r="D12" s="28"/>
      <c r="E12" s="28"/>
      <c r="F12" s="28"/>
      <c r="G12" s="28"/>
      <c r="H12" s="28"/>
      <c r="I12" s="28"/>
      <c r="J12" s="28"/>
      <c r="K12" s="28"/>
      <c r="L12" s="28"/>
      <c r="M12" s="28"/>
      <c r="N12" s="28"/>
      <c r="O12" s="28"/>
    </row>
    <row r="13" spans="1:15" ht="36" customHeight="1">
      <c r="A13" s="29" t="s">
        <v>14</v>
      </c>
      <c r="B13" s="978" t="s">
        <v>282</v>
      </c>
      <c r="C13" s="978"/>
      <c r="D13" s="978"/>
      <c r="E13" s="978"/>
      <c r="F13" s="978"/>
      <c r="G13" s="978"/>
      <c r="H13" s="978"/>
      <c r="I13" s="978"/>
      <c r="J13" s="978"/>
      <c r="K13" s="978"/>
      <c r="L13" s="28"/>
      <c r="M13" s="28"/>
      <c r="N13" s="28"/>
      <c r="O13" s="28"/>
    </row>
    <row r="14" spans="1:15" ht="34.5" customHeight="1">
      <c r="A14" s="29" t="s">
        <v>29</v>
      </c>
      <c r="B14" s="978" t="s">
        <v>60</v>
      </c>
      <c r="C14" s="978"/>
      <c r="D14" s="978"/>
      <c r="E14" s="978"/>
      <c r="F14" s="978"/>
      <c r="G14" s="978"/>
      <c r="H14" s="978"/>
      <c r="I14" s="978"/>
      <c r="J14" s="978"/>
      <c r="K14" s="978"/>
      <c r="L14" s="28"/>
      <c r="M14" s="28"/>
      <c r="N14" s="28"/>
      <c r="O14" s="28"/>
    </row>
    <row r="15" spans="1:15" ht="18.75" customHeight="1">
      <c r="A15" s="29" t="s">
        <v>30</v>
      </c>
      <c r="B15" s="988" t="s">
        <v>233</v>
      </c>
      <c r="C15" s="988"/>
      <c r="D15" s="988"/>
      <c r="E15" s="988"/>
      <c r="F15" s="988"/>
      <c r="G15" s="988"/>
      <c r="H15" s="988"/>
      <c r="I15" s="988"/>
      <c r="J15" s="988"/>
      <c r="K15" s="988"/>
      <c r="L15" s="28"/>
      <c r="M15" s="28"/>
      <c r="N15" s="28"/>
      <c r="O15" s="28"/>
    </row>
    <row r="16" spans="1:15" ht="36" customHeight="1">
      <c r="A16" s="29" t="s">
        <v>37</v>
      </c>
      <c r="B16" s="987" t="s">
        <v>39</v>
      </c>
      <c r="C16" s="987"/>
      <c r="D16" s="987"/>
      <c r="E16" s="987"/>
      <c r="F16" s="987"/>
      <c r="G16" s="987"/>
      <c r="H16" s="987"/>
      <c r="I16" s="987"/>
      <c r="J16" s="987"/>
      <c r="K16" s="987"/>
      <c r="L16" s="28"/>
      <c r="M16" s="28"/>
      <c r="N16" s="28"/>
      <c r="O16" s="28"/>
    </row>
    <row r="17" spans="1:15" ht="35.25" customHeight="1">
      <c r="A17" s="29" t="s">
        <v>41</v>
      </c>
      <c r="B17" s="989" t="s">
        <v>232</v>
      </c>
      <c r="C17" s="989"/>
      <c r="D17" s="989"/>
      <c r="E17" s="989"/>
      <c r="F17" s="989"/>
      <c r="G17" s="989"/>
      <c r="H17" s="989"/>
      <c r="I17" s="989"/>
      <c r="J17" s="989"/>
      <c r="K17" s="989"/>
      <c r="L17" s="28"/>
      <c r="M17" s="28"/>
      <c r="N17" s="28"/>
      <c r="O17" s="28"/>
    </row>
    <row r="18" spans="1:15" ht="54.75" customHeight="1">
      <c r="A18" s="29" t="s">
        <v>42</v>
      </c>
      <c r="B18" s="987" t="s">
        <v>110</v>
      </c>
      <c r="C18" s="987"/>
      <c r="D18" s="987"/>
      <c r="E18" s="987"/>
      <c r="F18" s="987"/>
      <c r="G18" s="987"/>
      <c r="H18" s="987"/>
      <c r="I18" s="987"/>
      <c r="J18" s="987"/>
      <c r="K18" s="987"/>
      <c r="L18" s="28"/>
      <c r="M18" s="28"/>
      <c r="N18" s="28"/>
      <c r="O18" s="28"/>
    </row>
    <row r="19" spans="1:15" ht="39" customHeight="1">
      <c r="A19" s="29" t="s">
        <v>43</v>
      </c>
      <c r="B19" s="987" t="s">
        <v>231</v>
      </c>
      <c r="C19" s="990"/>
      <c r="D19" s="990"/>
      <c r="E19" s="990"/>
      <c r="F19" s="990"/>
      <c r="G19" s="990"/>
      <c r="H19" s="990"/>
      <c r="I19" s="990"/>
      <c r="J19" s="990"/>
      <c r="K19" s="990"/>
      <c r="L19" s="28"/>
      <c r="M19" s="28"/>
      <c r="N19" s="28"/>
      <c r="O19" s="28"/>
    </row>
    <row r="20" spans="1:15" ht="165" customHeight="1">
      <c r="A20" s="29" t="s">
        <v>230</v>
      </c>
      <c r="B20" s="987" t="s">
        <v>235</v>
      </c>
      <c r="C20" s="987"/>
      <c r="D20" s="987"/>
      <c r="E20" s="987"/>
      <c r="F20" s="987"/>
      <c r="G20" s="987"/>
      <c r="H20" s="987"/>
      <c r="I20" s="987"/>
      <c r="J20" s="987"/>
      <c r="K20" s="987"/>
      <c r="L20" s="28"/>
      <c r="M20" s="28"/>
      <c r="N20" s="28"/>
      <c r="O20" s="28"/>
    </row>
    <row r="21" spans="1:15" ht="36" customHeight="1" thickBot="1">
      <c r="A21" s="29" t="s">
        <v>234</v>
      </c>
      <c r="B21" s="987" t="s">
        <v>61</v>
      </c>
      <c r="C21" s="987"/>
      <c r="D21" s="987"/>
      <c r="E21" s="987"/>
      <c r="F21" s="987"/>
      <c r="G21" s="987"/>
      <c r="H21" s="987"/>
      <c r="I21" s="987"/>
      <c r="J21" s="987"/>
      <c r="K21" s="987"/>
      <c r="L21" s="28"/>
      <c r="M21" s="28"/>
      <c r="N21" s="28"/>
      <c r="O21" s="28"/>
    </row>
    <row r="22" spans="1:15" ht="27.75" customHeight="1" thickTop="1" thickBot="1">
      <c r="A22" s="28"/>
      <c r="B22" s="28"/>
      <c r="C22" s="28"/>
      <c r="D22" s="979"/>
      <c r="E22" s="980"/>
      <c r="F22" s="980"/>
      <c r="G22" s="981"/>
      <c r="H22" s="28"/>
      <c r="I22" s="28"/>
      <c r="J22" s="28"/>
      <c r="K22" s="30"/>
      <c r="L22" s="28"/>
      <c r="M22" s="28"/>
      <c r="N22" s="28"/>
      <c r="O22" s="28"/>
    </row>
    <row r="23" spans="1:15" ht="15.6"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5">
    <pageSetUpPr fitToPage="1"/>
  </sheetPr>
  <dimension ref="A1:O1786"/>
  <sheetViews>
    <sheetView zoomScaleNormal="100" zoomScaleSheetLayoutView="75" workbookViewId="0">
      <pane ySplit="5" topLeftCell="A190" activePane="bottomLeft" state="frozen"/>
      <selection pane="bottomLeft" activeCell="C1" sqref="C1"/>
    </sheetView>
  </sheetViews>
  <sheetFormatPr defaultColWidth="8.90625" defaultRowHeight="13.2"/>
  <cols>
    <col min="1" max="1" width="3.81640625" style="112" customWidth="1"/>
    <col min="2" max="2" width="4.81640625" style="112" customWidth="1"/>
    <col min="3" max="3" width="66.81640625" style="138" customWidth="1"/>
    <col min="4" max="4" width="12.81640625" style="144" customWidth="1"/>
    <col min="5" max="5" width="15.81640625" style="112" customWidth="1"/>
    <col min="6" max="15" width="10.81640625" style="112" customWidth="1"/>
    <col min="16" max="16384" width="8.90625" style="112"/>
  </cols>
  <sheetData>
    <row r="1" spans="1:15" ht="15">
      <c r="A1" s="36"/>
      <c r="B1" s="131"/>
      <c r="C1" s="946" t="s">
        <v>10</v>
      </c>
      <c r="D1" s="132"/>
      <c r="E1" s="131"/>
      <c r="F1" s="131"/>
      <c r="G1" s="131"/>
      <c r="H1" s="131"/>
      <c r="I1" s="131"/>
      <c r="J1" s="134"/>
      <c r="K1" s="134"/>
      <c r="L1" s="879"/>
      <c r="M1" s="879"/>
    </row>
    <row r="2" spans="1:15" ht="15">
      <c r="A2" s="36"/>
      <c r="B2" s="131"/>
      <c r="C2" s="38"/>
      <c r="D2" s="132"/>
      <c r="E2" s="131"/>
      <c r="F2" s="131"/>
      <c r="G2" s="131"/>
      <c r="H2" s="131"/>
      <c r="I2" s="131"/>
      <c r="J2" s="134"/>
      <c r="K2" s="134"/>
      <c r="L2" s="879"/>
      <c r="M2" s="879"/>
    </row>
    <row r="3" spans="1:15" ht="17.399999999999999">
      <c r="A3" s="36"/>
      <c r="B3" s="145" t="s">
        <v>249</v>
      </c>
      <c r="C3" s="145"/>
      <c r="D3" s="145"/>
      <c r="E3" s="146"/>
      <c r="F3" s="131"/>
      <c r="G3" s="131"/>
      <c r="H3" s="131"/>
      <c r="I3" s="131"/>
      <c r="J3" s="134"/>
      <c r="K3" s="134"/>
      <c r="L3" s="879"/>
      <c r="M3" s="879"/>
    </row>
    <row r="4" spans="1:15" ht="18.899999999999999" customHeight="1">
      <c r="A4" s="36"/>
      <c r="B4" s="145"/>
      <c r="C4" s="145"/>
      <c r="D4" s="145"/>
      <c r="E4" s="146"/>
      <c r="F4" s="131"/>
      <c r="G4" s="131"/>
      <c r="H4" s="131"/>
      <c r="I4" s="131"/>
      <c r="J4" s="134"/>
      <c r="K4" s="134"/>
      <c r="L4" s="879"/>
      <c r="M4" s="879"/>
    </row>
    <row r="5" spans="1:15" ht="15" customHeight="1">
      <c r="A5" s="36"/>
      <c r="B5" s="858" t="s">
        <v>14</v>
      </c>
      <c r="C5" s="1042" t="s">
        <v>281</v>
      </c>
      <c r="D5" s="1043"/>
      <c r="E5" s="1043"/>
      <c r="F5" s="1043"/>
      <c r="G5" s="1043"/>
      <c r="H5" s="1043"/>
      <c r="I5" s="1043"/>
      <c r="J5" s="882"/>
      <c r="K5" s="882"/>
      <c r="L5" s="880"/>
      <c r="M5" s="879"/>
    </row>
    <row r="6" spans="1:15" ht="9.9" customHeight="1">
      <c r="A6" s="889"/>
      <c r="B6" s="813"/>
      <c r="C6" s="837"/>
      <c r="D6" s="837"/>
      <c r="E6" s="837"/>
      <c r="F6" s="893"/>
      <c r="G6" s="893"/>
      <c r="H6" s="893"/>
      <c r="I6" s="893"/>
      <c r="J6" s="882"/>
      <c r="K6" s="882"/>
      <c r="L6" s="880"/>
      <c r="M6" s="879"/>
    </row>
    <row r="7" spans="1:15" ht="30" customHeight="1" thickBot="1">
      <c r="A7" s="875"/>
      <c r="B7" s="202" t="s">
        <v>250</v>
      </c>
      <c r="C7" s="135"/>
      <c r="D7" s="136"/>
      <c r="E7" s="35"/>
      <c r="F7" s="875"/>
      <c r="G7" s="875"/>
      <c r="H7" s="875"/>
      <c r="I7" s="875"/>
      <c r="J7" s="869"/>
      <c r="K7" s="869"/>
      <c r="L7" s="879"/>
      <c r="M7" s="879"/>
    </row>
    <row r="8" spans="1:15" s="138" customFormat="1" ht="18.899999999999999" customHeight="1">
      <c r="A8" s="890"/>
      <c r="B8" s="996" t="str">
        <f>'Tab.G1.1-4'!$B$8</f>
        <v>LP</v>
      </c>
      <c r="C8" s="1003" t="str">
        <f>'Tab.G1.1-4'!$C$8</f>
        <v>Wyszczególnienie</v>
      </c>
      <c r="D8" s="999"/>
      <c r="E8" s="632" t="str">
        <f>'Tab.G1.1-4'!$E$8</f>
        <v>Wykonanie</v>
      </c>
      <c r="F8" s="709"/>
      <c r="G8" s="709"/>
      <c r="H8" s="709"/>
      <c r="I8" s="709"/>
      <c r="J8" s="709"/>
      <c r="K8" s="709"/>
      <c r="L8" s="881"/>
      <c r="M8" s="881"/>
      <c r="N8" s="838"/>
      <c r="O8" s="838"/>
    </row>
    <row r="9" spans="1:15" s="138" customFormat="1" ht="18.899999999999999" customHeight="1">
      <c r="A9" s="891"/>
      <c r="B9" s="997"/>
      <c r="C9" s="1004"/>
      <c r="D9" s="1001"/>
      <c r="E9" s="633">
        <f>Rok_ZPR</f>
        <v>2020</v>
      </c>
      <c r="F9" s="709"/>
      <c r="G9" s="709"/>
      <c r="H9" s="709"/>
      <c r="I9" s="709"/>
      <c r="J9" s="709"/>
      <c r="K9" s="709"/>
      <c r="L9" s="838"/>
      <c r="M9" s="838"/>
      <c r="N9" s="838"/>
      <c r="O9" s="838"/>
    </row>
    <row r="10" spans="1:15" ht="14.1" customHeight="1" thickBot="1">
      <c r="A10" s="892"/>
      <c r="B10" s="649" t="str">
        <f t="array" ref="B10:B67">Tab.G17!$B$10:$B$67</f>
        <v>01</v>
      </c>
      <c r="C10" s="994" t="str">
        <f>Tab.G17!$B$11</f>
        <v>02</v>
      </c>
      <c r="D10" s="995"/>
      <c r="E10" s="650" t="str">
        <f>Tab.G17!$B$12</f>
        <v>03</v>
      </c>
      <c r="F10" s="709"/>
      <c r="G10" s="709"/>
      <c r="H10" s="709"/>
      <c r="I10" s="709"/>
      <c r="J10" s="709"/>
      <c r="K10" s="709"/>
      <c r="L10" s="838"/>
      <c r="M10" s="838"/>
      <c r="N10" s="838"/>
      <c r="O10" s="838"/>
    </row>
    <row r="11" spans="1:15" ht="18.899999999999999" customHeight="1" thickBot="1">
      <c r="A11" s="876"/>
      <c r="B11" s="646" t="str">
        <v>02</v>
      </c>
      <c r="C11" s="1" t="s">
        <v>116</v>
      </c>
      <c r="D11" s="2" t="str">
        <f>'Tab.G1.1-4'!$D$11</f>
        <v>[tys. zł]</v>
      </c>
      <c r="E11" s="149">
        <f>SUM(E12,E23,E39)</f>
        <v>0</v>
      </c>
      <c r="F11" s="709"/>
      <c r="G11" s="709"/>
      <c r="H11" s="709"/>
      <c r="I11" s="709"/>
      <c r="J11" s="709"/>
      <c r="K11" s="709"/>
      <c r="L11" s="838"/>
      <c r="M11" s="838"/>
      <c r="N11" s="838"/>
      <c r="O11" s="838"/>
    </row>
    <row r="12" spans="1:15" ht="18.899999999999999" customHeight="1" thickBot="1">
      <c r="A12" s="876"/>
      <c r="B12" s="638" t="str">
        <v>03</v>
      </c>
      <c r="C12" s="3" t="s">
        <v>124</v>
      </c>
      <c r="D12" s="4" t="str">
        <f>'Tab.G1.1-4'!$D$11</f>
        <v>[tys. zł]</v>
      </c>
      <c r="E12" s="150">
        <f>SUM(E13,E18)</f>
        <v>0</v>
      </c>
      <c r="F12" s="709"/>
      <c r="G12" s="709"/>
      <c r="H12" s="709"/>
      <c r="I12" s="709"/>
      <c r="J12" s="709"/>
      <c r="K12" s="709"/>
      <c r="L12" s="838"/>
      <c r="M12" s="838"/>
      <c r="N12" s="838"/>
      <c r="O12" s="838"/>
    </row>
    <row r="13" spans="1:15" ht="18.899999999999999" customHeight="1">
      <c r="A13" s="875"/>
      <c r="B13" s="639" t="str">
        <v>04</v>
      </c>
      <c r="C13" s="261" t="s">
        <v>75</v>
      </c>
      <c r="D13" s="5" t="str">
        <f>'Tab.G1.1-4'!$D$11</f>
        <v>[tys. zł]</v>
      </c>
      <c r="E13" s="151">
        <f>SUM(E14:E17)</f>
        <v>0</v>
      </c>
      <c r="F13" s="709"/>
      <c r="G13" s="709"/>
      <c r="H13" s="709"/>
      <c r="I13" s="709"/>
      <c r="J13" s="709"/>
      <c r="K13" s="709"/>
      <c r="L13" s="838"/>
      <c r="M13" s="838"/>
      <c r="N13" s="838"/>
      <c r="O13" s="838"/>
    </row>
    <row r="14" spans="1:15" ht="18.899999999999999" customHeight="1">
      <c r="A14" s="875"/>
      <c r="B14" s="640" t="str">
        <v>05</v>
      </c>
      <c r="C14" s="263" t="s">
        <v>76</v>
      </c>
      <c r="D14" s="6" t="str">
        <f>'Tab.G1.1-4'!$D$11</f>
        <v>[tys. zł]</v>
      </c>
      <c r="E14" s="152"/>
      <c r="F14" s="709"/>
      <c r="G14" s="709"/>
      <c r="H14" s="709"/>
      <c r="I14" s="709"/>
      <c r="J14" s="709"/>
      <c r="K14" s="709"/>
      <c r="L14" s="838"/>
      <c r="M14" s="838"/>
      <c r="N14" s="838"/>
      <c r="O14" s="838"/>
    </row>
    <row r="15" spans="1:15" ht="18.899999999999999" customHeight="1">
      <c r="A15" s="875"/>
      <c r="B15" s="641" t="str">
        <v>06</v>
      </c>
      <c r="C15" s="264" t="s">
        <v>77</v>
      </c>
      <c r="D15" s="7" t="str">
        <f>'Tab.G1.1-4'!$D$11</f>
        <v>[tys. zł]</v>
      </c>
      <c r="E15" s="153"/>
      <c r="F15" s="709"/>
      <c r="G15" s="709"/>
      <c r="H15" s="709"/>
      <c r="I15" s="709"/>
      <c r="J15" s="709"/>
      <c r="K15" s="709"/>
      <c r="L15" s="838"/>
      <c r="M15" s="838"/>
      <c r="N15" s="838"/>
      <c r="O15" s="838"/>
    </row>
    <row r="16" spans="1:15" ht="18.899999999999999" customHeight="1">
      <c r="A16" s="876"/>
      <c r="B16" s="641" t="str">
        <v>07</v>
      </c>
      <c r="C16" s="264" t="s">
        <v>78</v>
      </c>
      <c r="D16" s="7" t="str">
        <f>'Tab.G1.1-4'!$D$11</f>
        <v>[tys. zł]</v>
      </c>
      <c r="E16" s="153"/>
      <c r="F16" s="709"/>
      <c r="G16" s="709"/>
      <c r="H16" s="709"/>
      <c r="I16" s="709"/>
      <c r="J16" s="709"/>
      <c r="K16" s="709"/>
      <c r="L16" s="838"/>
      <c r="M16" s="838"/>
      <c r="N16" s="838"/>
      <c r="O16" s="838"/>
    </row>
    <row r="17" spans="1:15" ht="18.899999999999999" customHeight="1">
      <c r="A17" s="876"/>
      <c r="B17" s="642" t="str">
        <v>08</v>
      </c>
      <c r="C17" s="267" t="s">
        <v>79</v>
      </c>
      <c r="D17" s="8" t="str">
        <f>'Tab.G1.1-4'!$D$11</f>
        <v>[tys. zł]</v>
      </c>
      <c r="E17" s="154"/>
      <c r="F17" s="709"/>
      <c r="G17" s="709"/>
      <c r="H17" s="709"/>
      <c r="I17" s="709"/>
      <c r="J17" s="709"/>
      <c r="K17" s="709"/>
      <c r="L17" s="838"/>
      <c r="M17" s="838"/>
      <c r="N17" s="838"/>
      <c r="O17" s="838"/>
    </row>
    <row r="18" spans="1:15" ht="18.899999999999999" customHeight="1">
      <c r="A18" s="876"/>
      <c r="B18" s="643" t="str">
        <v>09</v>
      </c>
      <c r="C18" s="262" t="s">
        <v>80</v>
      </c>
      <c r="D18" s="9" t="str">
        <f>'Tab.G1.1-4'!$D$11</f>
        <v>[tys. zł]</v>
      </c>
      <c r="E18" s="155">
        <f>SUM(E19:E22)</f>
        <v>0</v>
      </c>
      <c r="F18" s="709"/>
      <c r="G18" s="709"/>
      <c r="H18" s="709"/>
      <c r="I18" s="709"/>
      <c r="J18" s="709"/>
      <c r="K18" s="709"/>
      <c r="L18" s="838"/>
      <c r="M18" s="838"/>
      <c r="N18" s="838"/>
      <c r="O18" s="838"/>
    </row>
    <row r="19" spans="1:15" ht="18.899999999999999" customHeight="1">
      <c r="A19" s="876"/>
      <c r="B19" s="640" t="str">
        <v>10</v>
      </c>
      <c r="C19" s="263" t="s">
        <v>76</v>
      </c>
      <c r="D19" s="6" t="str">
        <f>'Tab.G1.1-4'!$D$11</f>
        <v>[tys. zł]</v>
      </c>
      <c r="E19" s="152"/>
      <c r="F19" s="709"/>
      <c r="G19" s="709"/>
      <c r="H19" s="709"/>
      <c r="I19" s="709"/>
      <c r="J19" s="709"/>
      <c r="K19" s="709"/>
      <c r="L19" s="838"/>
      <c r="M19" s="838"/>
      <c r="N19" s="838"/>
      <c r="O19" s="838"/>
    </row>
    <row r="20" spans="1:15" ht="18.899999999999999" customHeight="1">
      <c r="A20" s="876"/>
      <c r="B20" s="641" t="str">
        <v>11</v>
      </c>
      <c r="C20" s="264" t="s">
        <v>77</v>
      </c>
      <c r="D20" s="7" t="str">
        <f>'Tab.G1.1-4'!$D$11</f>
        <v>[tys. zł]</v>
      </c>
      <c r="E20" s="153"/>
      <c r="F20" s="709"/>
      <c r="G20" s="709"/>
      <c r="H20" s="709"/>
      <c r="I20" s="709"/>
      <c r="J20" s="709"/>
      <c r="K20" s="709"/>
      <c r="L20" s="838"/>
      <c r="M20" s="838"/>
      <c r="N20" s="838"/>
      <c r="O20" s="838"/>
    </row>
    <row r="21" spans="1:15" ht="18.899999999999999" customHeight="1">
      <c r="A21" s="876"/>
      <c r="B21" s="641" t="str">
        <v>12</v>
      </c>
      <c r="C21" s="264" t="s">
        <v>78</v>
      </c>
      <c r="D21" s="7" t="str">
        <f>'Tab.G1.1-4'!$D$11</f>
        <v>[tys. zł]</v>
      </c>
      <c r="E21" s="153"/>
      <c r="F21" s="709"/>
      <c r="G21" s="709"/>
      <c r="H21" s="709"/>
      <c r="I21" s="709"/>
      <c r="J21" s="709"/>
      <c r="K21" s="709"/>
      <c r="L21" s="838"/>
      <c r="M21" s="838"/>
      <c r="N21" s="838"/>
      <c r="O21" s="838"/>
    </row>
    <row r="22" spans="1:15" ht="18.899999999999999" customHeight="1" thickBot="1">
      <c r="A22" s="876"/>
      <c r="B22" s="644" t="str">
        <v>13</v>
      </c>
      <c r="C22" s="268" t="s">
        <v>79</v>
      </c>
      <c r="D22" s="10" t="str">
        <f>'Tab.G1.1-4'!$D$11</f>
        <v>[tys. zł]</v>
      </c>
      <c r="E22" s="156"/>
      <c r="F22" s="709"/>
      <c r="G22" s="709"/>
      <c r="H22" s="709"/>
      <c r="I22" s="709"/>
      <c r="J22" s="709"/>
      <c r="K22" s="709"/>
      <c r="L22" s="838"/>
      <c r="M22" s="838"/>
      <c r="N22" s="838"/>
      <c r="O22" s="838"/>
    </row>
    <row r="23" spans="1:15" ht="18.899999999999999" customHeight="1" thickBot="1">
      <c r="A23" s="876"/>
      <c r="B23" s="638" t="str">
        <v>14</v>
      </c>
      <c r="C23" s="11" t="s">
        <v>125</v>
      </c>
      <c r="D23" s="4" t="str">
        <f>'Tab.G1.1-4'!$D$11</f>
        <v>[tys. zł]</v>
      </c>
      <c r="E23" s="150">
        <f>SUM(E24,E29,E34)</f>
        <v>0</v>
      </c>
      <c r="F23" s="709"/>
      <c r="G23" s="709"/>
      <c r="H23" s="709"/>
      <c r="I23" s="709"/>
      <c r="J23" s="709"/>
      <c r="K23" s="709"/>
      <c r="L23" s="838"/>
      <c r="M23" s="838"/>
      <c r="N23" s="838"/>
      <c r="O23" s="838"/>
    </row>
    <row r="24" spans="1:15" ht="18.899999999999999" customHeight="1">
      <c r="A24" s="876"/>
      <c r="B24" s="639" t="str">
        <v>15</v>
      </c>
      <c r="C24" s="261" t="s">
        <v>75</v>
      </c>
      <c r="D24" s="5" t="str">
        <f>'Tab.G1.1-4'!$D$11</f>
        <v>[tys. zł]</v>
      </c>
      <c r="E24" s="151">
        <f>SUM(E25:E28)</f>
        <v>0</v>
      </c>
      <c r="F24" s="709"/>
      <c r="G24" s="709"/>
      <c r="H24" s="709"/>
      <c r="I24" s="709"/>
      <c r="J24" s="709"/>
      <c r="K24" s="709"/>
      <c r="L24" s="838"/>
      <c r="M24" s="838"/>
      <c r="N24" s="838"/>
      <c r="O24" s="838"/>
    </row>
    <row r="25" spans="1:15" ht="18.899999999999999" customHeight="1">
      <c r="A25" s="876"/>
      <c r="B25" s="640" t="str">
        <v>16</v>
      </c>
      <c r="C25" s="263" t="s">
        <v>81</v>
      </c>
      <c r="D25" s="6" t="str">
        <f>'Tab.G1.1-4'!$D$11</f>
        <v>[tys. zł]</v>
      </c>
      <c r="E25" s="152"/>
      <c r="F25" s="709"/>
      <c r="G25" s="709"/>
      <c r="H25" s="709"/>
      <c r="I25" s="709"/>
      <c r="J25" s="709"/>
      <c r="K25" s="709"/>
      <c r="L25" s="838"/>
      <c r="M25" s="838"/>
      <c r="N25" s="838"/>
      <c r="O25" s="838"/>
    </row>
    <row r="26" spans="1:15" ht="18.899999999999999" customHeight="1">
      <c r="A26" s="876"/>
      <c r="B26" s="641" t="str">
        <v>17</v>
      </c>
      <c r="C26" s="264" t="s">
        <v>78</v>
      </c>
      <c r="D26" s="7" t="str">
        <f>'Tab.G1.1-4'!$D$11</f>
        <v>[tys. zł]</v>
      </c>
      <c r="E26" s="153"/>
      <c r="F26" s="709"/>
      <c r="G26" s="709"/>
      <c r="H26" s="709"/>
      <c r="I26" s="709"/>
      <c r="J26" s="709"/>
      <c r="K26" s="709"/>
      <c r="L26" s="838"/>
      <c r="M26" s="838"/>
      <c r="N26" s="838"/>
      <c r="O26" s="838"/>
    </row>
    <row r="27" spans="1:15" ht="18.899999999999999" customHeight="1">
      <c r="A27" s="876"/>
      <c r="B27" s="641" t="str">
        <v>18</v>
      </c>
      <c r="C27" s="265" t="s">
        <v>82</v>
      </c>
      <c r="D27" s="7" t="str">
        <f>'Tab.G1.1-4'!$D$11</f>
        <v>[tys. zł]</v>
      </c>
      <c r="E27" s="153"/>
      <c r="F27" s="709"/>
      <c r="G27" s="709"/>
      <c r="H27" s="709"/>
      <c r="I27" s="709"/>
      <c r="J27" s="709"/>
      <c r="K27" s="709"/>
      <c r="L27" s="838"/>
      <c r="M27" s="838"/>
      <c r="N27" s="838"/>
      <c r="O27" s="838"/>
    </row>
    <row r="28" spans="1:15" ht="18.899999999999999" customHeight="1">
      <c r="A28" s="876"/>
      <c r="B28" s="642" t="str">
        <v>19</v>
      </c>
      <c r="C28" s="267" t="s">
        <v>83</v>
      </c>
      <c r="D28" s="8" t="str">
        <f>'Tab.G1.1-4'!$D$11</f>
        <v>[tys. zł]</v>
      </c>
      <c r="E28" s="154"/>
      <c r="F28" s="709"/>
      <c r="G28" s="709"/>
      <c r="H28" s="709"/>
      <c r="I28" s="709"/>
      <c r="J28" s="709"/>
      <c r="K28" s="709"/>
      <c r="L28" s="838"/>
      <c r="M28" s="838"/>
      <c r="N28" s="838"/>
      <c r="O28" s="838"/>
    </row>
    <row r="29" spans="1:15" ht="18.899999999999999" customHeight="1">
      <c r="A29" s="876"/>
      <c r="B29" s="643" t="str">
        <v>20</v>
      </c>
      <c r="C29" s="262" t="s">
        <v>80</v>
      </c>
      <c r="D29" s="9" t="str">
        <f>'Tab.G1.1-4'!$D$11</f>
        <v>[tys. zł]</v>
      </c>
      <c r="E29" s="155">
        <f>SUM(E30:E33)</f>
        <v>0</v>
      </c>
      <c r="F29" s="709"/>
      <c r="G29" s="709"/>
      <c r="H29" s="709"/>
      <c r="I29" s="709"/>
      <c r="J29" s="709"/>
      <c r="K29" s="709"/>
      <c r="L29" s="838"/>
      <c r="M29" s="838"/>
      <c r="N29" s="838"/>
      <c r="O29" s="838"/>
    </row>
    <row r="30" spans="1:15" ht="18.899999999999999" customHeight="1">
      <c r="A30" s="876"/>
      <c r="B30" s="640" t="str">
        <v>21</v>
      </c>
      <c r="C30" s="263" t="s">
        <v>81</v>
      </c>
      <c r="D30" s="6" t="str">
        <f>'Tab.G1.1-4'!$D$11</f>
        <v>[tys. zł]</v>
      </c>
      <c r="E30" s="152"/>
      <c r="F30" s="709"/>
      <c r="G30" s="709"/>
      <c r="H30" s="709"/>
      <c r="I30" s="709"/>
      <c r="J30" s="709"/>
      <c r="K30" s="709"/>
      <c r="L30" s="838"/>
      <c r="M30" s="838"/>
      <c r="N30" s="838"/>
      <c r="O30" s="838"/>
    </row>
    <row r="31" spans="1:15" ht="18.899999999999999" customHeight="1">
      <c r="A31" s="876"/>
      <c r="B31" s="641" t="str">
        <v>22</v>
      </c>
      <c r="C31" s="264" t="s">
        <v>78</v>
      </c>
      <c r="D31" s="7" t="str">
        <f>'Tab.G1.1-4'!$D$11</f>
        <v>[tys. zł]</v>
      </c>
      <c r="E31" s="153"/>
      <c r="F31" s="709"/>
      <c r="G31" s="709"/>
      <c r="H31" s="709"/>
      <c r="I31" s="709"/>
      <c r="J31" s="709"/>
      <c r="K31" s="709"/>
      <c r="L31" s="838"/>
      <c r="M31" s="838"/>
      <c r="N31" s="838"/>
      <c r="O31" s="838"/>
    </row>
    <row r="32" spans="1:15" ht="18.899999999999999" customHeight="1">
      <c r="A32" s="876"/>
      <c r="B32" s="641" t="str">
        <v>23</v>
      </c>
      <c r="C32" s="265" t="s">
        <v>82</v>
      </c>
      <c r="D32" s="7" t="str">
        <f>'Tab.G1.1-4'!$D$11</f>
        <v>[tys. zł]</v>
      </c>
      <c r="E32" s="153"/>
      <c r="F32" s="709"/>
      <c r="G32" s="709"/>
      <c r="H32" s="709"/>
      <c r="I32" s="709"/>
      <c r="J32" s="709"/>
      <c r="K32" s="709"/>
      <c r="L32" s="838"/>
      <c r="M32" s="838"/>
      <c r="N32" s="838"/>
      <c r="O32" s="838"/>
    </row>
    <row r="33" spans="1:15" ht="18.899999999999999" customHeight="1">
      <c r="A33" s="876"/>
      <c r="B33" s="645" t="str">
        <v>24</v>
      </c>
      <c r="C33" s="338" t="s">
        <v>83</v>
      </c>
      <c r="D33" s="270" t="str">
        <f>'Tab.G1.1-4'!$D$11</f>
        <v>[tys. zł]</v>
      </c>
      <c r="E33" s="271"/>
      <c r="F33" s="709"/>
      <c r="G33" s="709"/>
      <c r="H33" s="709"/>
      <c r="I33" s="709"/>
      <c r="J33" s="709"/>
      <c r="K33" s="709"/>
      <c r="L33" s="838"/>
      <c r="M33" s="838"/>
      <c r="N33" s="838"/>
      <c r="O33" s="838"/>
    </row>
    <row r="34" spans="1:15" ht="18.899999999999999" customHeight="1">
      <c r="A34" s="876"/>
      <c r="B34" s="643" t="str">
        <v>25</v>
      </c>
      <c r="C34" s="262" t="s">
        <v>171</v>
      </c>
      <c r="D34" s="9" t="str">
        <f>'Tab.G1.1-4'!$D$11</f>
        <v>[tys. zł]</v>
      </c>
      <c r="E34" s="155">
        <f>SUM(E35:E38)</f>
        <v>0</v>
      </c>
      <c r="F34" s="709"/>
      <c r="G34" s="709"/>
      <c r="H34" s="709"/>
      <c r="I34" s="709"/>
      <c r="J34" s="709"/>
      <c r="K34" s="709"/>
      <c r="L34" s="838"/>
      <c r="M34" s="838"/>
      <c r="N34" s="838"/>
      <c r="O34" s="838"/>
    </row>
    <row r="35" spans="1:15" ht="18.899999999999999" customHeight="1">
      <c r="A35" s="876"/>
      <c r="B35" s="640" t="str">
        <v>26</v>
      </c>
      <c r="C35" s="263" t="s">
        <v>81</v>
      </c>
      <c r="D35" s="6" t="str">
        <f>'Tab.G1.1-4'!$D$11</f>
        <v>[tys. zł]</v>
      </c>
      <c r="E35" s="152"/>
      <c r="F35" s="709"/>
      <c r="G35" s="709"/>
      <c r="H35" s="709"/>
      <c r="I35" s="709"/>
      <c r="J35" s="709"/>
      <c r="K35" s="709"/>
      <c r="L35" s="838"/>
      <c r="M35" s="838"/>
      <c r="N35" s="838"/>
      <c r="O35" s="838"/>
    </row>
    <row r="36" spans="1:15" ht="18.899999999999999" customHeight="1">
      <c r="A36" s="876"/>
      <c r="B36" s="641" t="str">
        <v>27</v>
      </c>
      <c r="C36" s="264" t="s">
        <v>78</v>
      </c>
      <c r="D36" s="7" t="str">
        <f>'Tab.G1.1-4'!$D$11</f>
        <v>[tys. zł]</v>
      </c>
      <c r="E36" s="153"/>
      <c r="F36" s="709"/>
      <c r="G36" s="709"/>
      <c r="H36" s="709"/>
      <c r="I36" s="709"/>
      <c r="J36" s="709"/>
      <c r="K36" s="709"/>
      <c r="L36" s="838"/>
      <c r="M36" s="838"/>
      <c r="N36" s="838"/>
      <c r="O36" s="838"/>
    </row>
    <row r="37" spans="1:15" ht="18.899999999999999" customHeight="1">
      <c r="A37" s="876"/>
      <c r="B37" s="641" t="str">
        <v>28</v>
      </c>
      <c r="C37" s="265" t="s">
        <v>82</v>
      </c>
      <c r="D37" s="7" t="str">
        <f>'Tab.G1.1-4'!$D$11</f>
        <v>[tys. zł]</v>
      </c>
      <c r="E37" s="153"/>
      <c r="F37" s="709"/>
      <c r="G37" s="709"/>
      <c r="H37" s="709"/>
      <c r="I37" s="709"/>
      <c r="J37" s="709"/>
      <c r="K37" s="709"/>
      <c r="L37" s="838"/>
      <c r="M37" s="838"/>
      <c r="N37" s="838"/>
      <c r="O37" s="838"/>
    </row>
    <row r="38" spans="1:15" ht="18.899999999999999" customHeight="1" thickBot="1">
      <c r="A38" s="876"/>
      <c r="B38" s="642" t="str">
        <v>29</v>
      </c>
      <c r="C38" s="267" t="s">
        <v>83</v>
      </c>
      <c r="D38" s="8" t="str">
        <f>'Tab.G1.1-4'!$D$11</f>
        <v>[tys. zł]</v>
      </c>
      <c r="E38" s="154"/>
      <c r="F38" s="709"/>
      <c r="G38" s="709"/>
      <c r="H38" s="709"/>
      <c r="I38" s="709"/>
      <c r="J38" s="709"/>
      <c r="K38" s="709"/>
      <c r="L38" s="838"/>
      <c r="M38" s="838"/>
      <c r="N38" s="838"/>
      <c r="O38" s="838"/>
    </row>
    <row r="39" spans="1:15" ht="18.899999999999999" customHeight="1" thickBot="1">
      <c r="A39" s="876"/>
      <c r="B39" s="638" t="str">
        <v>30</v>
      </c>
      <c r="C39" s="11" t="s">
        <v>172</v>
      </c>
      <c r="D39" s="4" t="str">
        <f>'Tab.G1.1-4'!$D$11</f>
        <v>[tys. zł]</v>
      </c>
      <c r="E39" s="150"/>
      <c r="F39" s="709"/>
      <c r="G39" s="709"/>
      <c r="H39" s="709"/>
      <c r="I39" s="709"/>
      <c r="J39" s="709"/>
      <c r="K39" s="709"/>
      <c r="L39" s="838"/>
      <c r="M39" s="838"/>
      <c r="N39" s="838"/>
      <c r="O39" s="838"/>
    </row>
    <row r="40" spans="1:15" ht="18.899999999999999" customHeight="1" thickBot="1">
      <c r="A40" s="876"/>
      <c r="B40" s="646" t="str">
        <v>31</v>
      </c>
      <c r="C40" s="1" t="s">
        <v>117</v>
      </c>
      <c r="D40" s="2" t="str">
        <f>'Tab.G1.1-4'!$D$11</f>
        <v>[tys. zł]</v>
      </c>
      <c r="E40" s="149">
        <f>SUM(E41,E45,E49,E53:E54)</f>
        <v>0</v>
      </c>
      <c r="F40" s="709"/>
      <c r="G40" s="709"/>
      <c r="H40" s="709"/>
      <c r="I40" s="709"/>
      <c r="J40" s="709"/>
      <c r="K40" s="709"/>
      <c r="L40" s="838"/>
      <c r="M40" s="838"/>
      <c r="N40" s="838"/>
      <c r="O40" s="838"/>
    </row>
    <row r="41" spans="1:15" ht="18.899999999999999" customHeight="1">
      <c r="A41" s="876"/>
      <c r="B41" s="639" t="str">
        <v>32</v>
      </c>
      <c r="C41" s="12" t="s">
        <v>119</v>
      </c>
      <c r="D41" s="5" t="str">
        <f>'Tab.G1.1-4'!$D$11</f>
        <v>[tys. zł]</v>
      </c>
      <c r="E41" s="151">
        <f>SUM(E42:E44)</f>
        <v>0</v>
      </c>
      <c r="F41" s="709"/>
      <c r="G41" s="709"/>
      <c r="H41" s="709"/>
      <c r="I41" s="709"/>
      <c r="J41" s="709"/>
      <c r="K41" s="709"/>
      <c r="L41" s="838"/>
      <c r="M41" s="838"/>
      <c r="N41" s="838"/>
      <c r="O41" s="838"/>
    </row>
    <row r="42" spans="1:15" ht="18.899999999999999" customHeight="1">
      <c r="A42" s="876"/>
      <c r="B42" s="640" t="str">
        <v>33</v>
      </c>
      <c r="C42" s="263" t="s">
        <v>88</v>
      </c>
      <c r="D42" s="6" t="str">
        <f>'Tab.G1.1-4'!$D$11</f>
        <v>[tys. zł]</v>
      </c>
      <c r="E42" s="152"/>
      <c r="F42" s="709"/>
      <c r="G42" s="709"/>
      <c r="H42" s="709"/>
      <c r="I42" s="709"/>
      <c r="J42" s="709"/>
      <c r="K42" s="709"/>
      <c r="L42" s="838"/>
      <c r="M42" s="838"/>
      <c r="N42" s="838"/>
      <c r="O42" s="838"/>
    </row>
    <row r="43" spans="1:15" ht="18.899999999999999" customHeight="1">
      <c r="A43" s="876"/>
      <c r="B43" s="641" t="str">
        <v>34</v>
      </c>
      <c r="C43" s="264" t="s">
        <v>89</v>
      </c>
      <c r="D43" s="7" t="str">
        <f>'Tab.G1.1-4'!$D$11</f>
        <v>[tys. zł]</v>
      </c>
      <c r="E43" s="153"/>
      <c r="F43" s="709"/>
      <c r="G43" s="709"/>
      <c r="H43" s="709"/>
      <c r="I43" s="709"/>
      <c r="J43" s="709"/>
      <c r="K43" s="709"/>
      <c r="L43" s="838"/>
      <c r="M43" s="838"/>
      <c r="N43" s="838"/>
      <c r="O43" s="838"/>
    </row>
    <row r="44" spans="1:15" ht="18.899999999999999" customHeight="1">
      <c r="A44" s="876"/>
      <c r="B44" s="642" t="str">
        <v>35</v>
      </c>
      <c r="C44" s="272" t="s">
        <v>90</v>
      </c>
      <c r="D44" s="8" t="str">
        <f>'Tab.G1.1-4'!$D$11</f>
        <v>[tys. zł]</v>
      </c>
      <c r="E44" s="154"/>
      <c r="F44" s="709"/>
      <c r="G44" s="709"/>
      <c r="H44" s="709"/>
      <c r="I44" s="709"/>
      <c r="J44" s="709"/>
      <c r="K44" s="709"/>
      <c r="L44" s="838"/>
      <c r="M44" s="838"/>
      <c r="N44" s="838"/>
      <c r="O44" s="838"/>
    </row>
    <row r="45" spans="1:15" ht="18.899999999999999" customHeight="1">
      <c r="A45" s="876"/>
      <c r="B45" s="643" t="str">
        <v>36</v>
      </c>
      <c r="C45" s="13" t="s">
        <v>120</v>
      </c>
      <c r="D45" s="9" t="str">
        <f>'Tab.G1.1-4'!$D$11</f>
        <v>[tys. zł]</v>
      </c>
      <c r="E45" s="155">
        <f>SUM(E46:E48)</f>
        <v>0</v>
      </c>
      <c r="F45" s="709"/>
      <c r="G45" s="709"/>
      <c r="H45" s="709"/>
      <c r="I45" s="709"/>
      <c r="J45" s="709"/>
      <c r="K45" s="709"/>
      <c r="L45" s="838"/>
      <c r="M45" s="838"/>
      <c r="N45" s="838"/>
      <c r="O45" s="838"/>
    </row>
    <row r="46" spans="1:15" ht="18.899999999999999" customHeight="1">
      <c r="A46" s="876"/>
      <c r="B46" s="640" t="str">
        <v>37</v>
      </c>
      <c r="C46" s="263" t="s">
        <v>91</v>
      </c>
      <c r="D46" s="6" t="str">
        <f>'Tab.G1.1-4'!$D$11</f>
        <v>[tys. zł]</v>
      </c>
      <c r="E46" s="152"/>
      <c r="F46" s="709"/>
      <c r="G46" s="709"/>
      <c r="H46" s="709"/>
      <c r="I46" s="709"/>
      <c r="J46" s="709"/>
      <c r="K46" s="709"/>
      <c r="L46" s="838"/>
      <c r="M46" s="838"/>
      <c r="N46" s="838"/>
      <c r="O46" s="838"/>
    </row>
    <row r="47" spans="1:15" ht="18.899999999999999" customHeight="1">
      <c r="A47" s="876"/>
      <c r="B47" s="641" t="str">
        <v>38</v>
      </c>
      <c r="C47" s="265" t="s">
        <v>92</v>
      </c>
      <c r="D47" s="7" t="str">
        <f>'Tab.G1.1-4'!$D$11</f>
        <v>[tys. zł]</v>
      </c>
      <c r="E47" s="153"/>
      <c r="F47" s="709"/>
      <c r="G47" s="709"/>
      <c r="H47" s="709"/>
      <c r="I47" s="709"/>
      <c r="J47" s="709"/>
      <c r="K47" s="709"/>
      <c r="L47" s="838"/>
      <c r="M47" s="838"/>
      <c r="N47" s="838"/>
      <c r="O47" s="838"/>
    </row>
    <row r="48" spans="1:15" ht="18.899999999999999" customHeight="1">
      <c r="A48" s="876"/>
      <c r="B48" s="642" t="str">
        <v>39</v>
      </c>
      <c r="C48" s="272" t="s">
        <v>93</v>
      </c>
      <c r="D48" s="8" t="str">
        <f>'Tab.G1.1-4'!$D$11</f>
        <v>[tys. zł]</v>
      </c>
      <c r="E48" s="154"/>
      <c r="F48" s="709"/>
      <c r="G48" s="709"/>
      <c r="H48" s="709"/>
      <c r="I48" s="709"/>
      <c r="J48" s="709"/>
      <c r="K48" s="709"/>
      <c r="L48" s="838"/>
      <c r="M48" s="838"/>
      <c r="N48" s="838"/>
      <c r="O48" s="838"/>
    </row>
    <row r="49" spans="1:15" ht="18.899999999999999" customHeight="1">
      <c r="A49" s="876"/>
      <c r="B49" s="643" t="str">
        <v>40</v>
      </c>
      <c r="C49" s="13" t="s">
        <v>121</v>
      </c>
      <c r="D49" s="9" t="str">
        <f>'Tab.G1.1-4'!$D$11</f>
        <v>[tys. zł]</v>
      </c>
      <c r="E49" s="155">
        <f>SUM(E50:E52)</f>
        <v>0</v>
      </c>
      <c r="F49" s="709"/>
      <c r="G49" s="709"/>
      <c r="H49" s="709"/>
      <c r="I49" s="709"/>
      <c r="J49" s="709"/>
      <c r="K49" s="709"/>
      <c r="L49" s="838"/>
      <c r="M49" s="838"/>
      <c r="N49" s="838"/>
      <c r="O49" s="838"/>
    </row>
    <row r="50" spans="1:15" ht="18.899999999999999" customHeight="1">
      <c r="A50" s="876"/>
      <c r="B50" s="640" t="str">
        <v>41</v>
      </c>
      <c r="C50" s="263" t="s">
        <v>91</v>
      </c>
      <c r="D50" s="6" t="str">
        <f>'Tab.G1.1-4'!$D$11</f>
        <v>[tys. zł]</v>
      </c>
      <c r="E50" s="152"/>
      <c r="F50" s="709"/>
      <c r="G50" s="709"/>
      <c r="H50" s="709"/>
      <c r="I50" s="709"/>
      <c r="J50" s="709"/>
      <c r="K50" s="709"/>
      <c r="L50" s="838"/>
      <c r="M50" s="838"/>
      <c r="N50" s="838"/>
      <c r="O50" s="838"/>
    </row>
    <row r="51" spans="1:15" ht="18.899999999999999" customHeight="1">
      <c r="A51" s="876"/>
      <c r="B51" s="641" t="str">
        <v>42</v>
      </c>
      <c r="C51" s="265" t="s">
        <v>92</v>
      </c>
      <c r="D51" s="7" t="str">
        <f>'Tab.G1.1-4'!$D$11</f>
        <v>[tys. zł]</v>
      </c>
      <c r="E51" s="153"/>
      <c r="F51" s="709"/>
      <c r="G51" s="709"/>
      <c r="H51" s="709"/>
      <c r="I51" s="709"/>
      <c r="J51" s="709"/>
      <c r="K51" s="709"/>
      <c r="L51" s="838"/>
      <c r="M51" s="838"/>
      <c r="N51" s="838"/>
      <c r="O51" s="838"/>
    </row>
    <row r="52" spans="1:15" ht="18.899999999999999" customHeight="1">
      <c r="A52" s="876"/>
      <c r="B52" s="642" t="str">
        <v>43</v>
      </c>
      <c r="C52" s="272" t="s">
        <v>93</v>
      </c>
      <c r="D52" s="8" t="str">
        <f>'Tab.G1.1-4'!$D$11</f>
        <v>[tys. zł]</v>
      </c>
      <c r="E52" s="154"/>
      <c r="F52" s="709"/>
      <c r="G52" s="709"/>
      <c r="H52" s="709"/>
      <c r="I52" s="709"/>
      <c r="J52" s="709"/>
      <c r="K52" s="709"/>
      <c r="L52" s="838"/>
      <c r="M52" s="838"/>
      <c r="N52" s="838"/>
      <c r="O52" s="838"/>
    </row>
    <row r="53" spans="1:15" ht="18.899999999999999" customHeight="1">
      <c r="A53" s="876"/>
      <c r="B53" s="647" t="str">
        <v>44</v>
      </c>
      <c r="C53" s="14" t="s">
        <v>122</v>
      </c>
      <c r="D53" s="15" t="str">
        <f>'Tab.G1.1-4'!$D$11</f>
        <v>[tys. zł]</v>
      </c>
      <c r="E53" s="155"/>
      <c r="F53" s="709"/>
      <c r="G53" s="709"/>
      <c r="H53" s="709"/>
      <c r="I53" s="709"/>
      <c r="J53" s="709"/>
      <c r="K53" s="709"/>
      <c r="L53" s="838"/>
      <c r="M53" s="838"/>
      <c r="N53" s="838"/>
      <c r="O53" s="838"/>
    </row>
    <row r="54" spans="1:15" ht="18.899999999999999" customHeight="1" thickBot="1">
      <c r="A54" s="876"/>
      <c r="B54" s="648" t="str">
        <v>45</v>
      </c>
      <c r="C54" s="16" t="s">
        <v>123</v>
      </c>
      <c r="D54" s="17" t="str">
        <f>'Tab.G1.1-4'!$D$11</f>
        <v>[tys. zł]</v>
      </c>
      <c r="E54" s="157"/>
      <c r="F54" s="709"/>
      <c r="G54" s="709"/>
      <c r="H54" s="709"/>
      <c r="I54" s="709"/>
      <c r="J54" s="709"/>
      <c r="K54" s="709"/>
      <c r="L54" s="838"/>
      <c r="M54" s="838"/>
      <c r="N54" s="838"/>
      <c r="O54" s="838"/>
    </row>
    <row r="55" spans="1:15" ht="18.899999999999999" customHeight="1" thickBot="1">
      <c r="A55" s="876"/>
      <c r="B55" s="646" t="str">
        <v>46</v>
      </c>
      <c r="C55" s="1" t="s">
        <v>130</v>
      </c>
      <c r="D55" s="2" t="str">
        <f>'Tab.G1.1-4'!$D$11</f>
        <v>[tys. zł]</v>
      </c>
      <c r="E55" s="149">
        <f>SUM(E56,E61,E64,E67)</f>
        <v>0</v>
      </c>
      <c r="F55" s="709"/>
      <c r="G55" s="709"/>
      <c r="H55" s="709"/>
      <c r="I55" s="709"/>
      <c r="J55" s="709"/>
      <c r="K55" s="709"/>
      <c r="L55" s="838"/>
      <c r="M55" s="838"/>
      <c r="N55" s="838"/>
      <c r="O55" s="838"/>
    </row>
    <row r="56" spans="1:15" ht="18.899999999999999" customHeight="1">
      <c r="A56" s="876"/>
      <c r="B56" s="639" t="str">
        <v>47</v>
      </c>
      <c r="C56" s="12" t="s">
        <v>131</v>
      </c>
      <c r="D56" s="5" t="str">
        <f>'Tab.G1.1-4'!$D$11</f>
        <v>[tys. zł]</v>
      </c>
      <c r="E56" s="151">
        <f>SUM(E57:E60)</f>
        <v>0</v>
      </c>
      <c r="F56" s="709"/>
      <c r="G56" s="709"/>
      <c r="H56" s="709"/>
      <c r="I56" s="709"/>
      <c r="J56" s="709"/>
      <c r="K56" s="709"/>
      <c r="L56" s="838"/>
      <c r="M56" s="838"/>
      <c r="N56" s="838"/>
      <c r="O56" s="838"/>
    </row>
    <row r="57" spans="1:15" ht="18.899999999999999" customHeight="1">
      <c r="A57" s="876"/>
      <c r="B57" s="640" t="str">
        <v>48</v>
      </c>
      <c r="C57" s="266" t="s">
        <v>132</v>
      </c>
      <c r="D57" s="6" t="str">
        <f>'Tab.G1.1-4'!$D$11</f>
        <v>[tys. zł]</v>
      </c>
      <c r="E57" s="152"/>
      <c r="F57" s="709"/>
      <c r="G57" s="709"/>
      <c r="H57" s="709"/>
      <c r="I57" s="709"/>
      <c r="J57" s="709"/>
      <c r="K57" s="709"/>
      <c r="L57" s="838"/>
      <c r="M57" s="838"/>
      <c r="N57" s="838"/>
      <c r="O57" s="838"/>
    </row>
    <row r="58" spans="1:15" ht="18.899999999999999" customHeight="1">
      <c r="A58" s="876"/>
      <c r="B58" s="641" t="str">
        <v>49</v>
      </c>
      <c r="C58" s="265" t="s">
        <v>173</v>
      </c>
      <c r="D58" s="7" t="str">
        <f>'Tab.G1.1-4'!$D$11</f>
        <v>[tys. zł]</v>
      </c>
      <c r="E58" s="153"/>
      <c r="F58" s="709"/>
      <c r="G58" s="709"/>
      <c r="H58" s="709"/>
      <c r="I58" s="709"/>
      <c r="J58" s="709"/>
      <c r="K58" s="709"/>
      <c r="L58" s="838"/>
      <c r="M58" s="838"/>
      <c r="N58" s="838"/>
      <c r="O58" s="838"/>
    </row>
    <row r="59" spans="1:15" ht="18.899999999999999" customHeight="1">
      <c r="A59" s="876"/>
      <c r="B59" s="641" t="str">
        <v>50</v>
      </c>
      <c r="C59" s="265" t="s">
        <v>133</v>
      </c>
      <c r="D59" s="7" t="str">
        <f>'Tab.G1.1-4'!$D$11</f>
        <v>[tys. zł]</v>
      </c>
      <c r="E59" s="153"/>
      <c r="F59" s="709"/>
      <c r="G59" s="709"/>
      <c r="H59" s="709"/>
      <c r="I59" s="709"/>
      <c r="J59" s="709"/>
      <c r="K59" s="709"/>
      <c r="L59" s="838"/>
      <c r="M59" s="838"/>
      <c r="N59" s="838"/>
      <c r="O59" s="838"/>
    </row>
    <row r="60" spans="1:15" ht="18.899999999999999" customHeight="1">
      <c r="A60" s="876"/>
      <c r="B60" s="642" t="str">
        <v>51</v>
      </c>
      <c r="C60" s="339" t="s">
        <v>174</v>
      </c>
      <c r="D60" s="8" t="str">
        <f>'Tab.G1.1-4'!$D$11</f>
        <v>[tys. zł]</v>
      </c>
      <c r="E60" s="154"/>
      <c r="F60" s="709"/>
      <c r="G60" s="709"/>
      <c r="H60" s="709"/>
      <c r="I60" s="709"/>
      <c r="J60" s="709"/>
      <c r="K60" s="709"/>
      <c r="L60" s="838"/>
      <c r="M60" s="838"/>
      <c r="N60" s="838"/>
      <c r="O60" s="838"/>
    </row>
    <row r="61" spans="1:15" ht="18.899999999999999" customHeight="1">
      <c r="A61" s="876"/>
      <c r="B61" s="643" t="str">
        <v>52</v>
      </c>
      <c r="C61" s="13" t="s">
        <v>134</v>
      </c>
      <c r="D61" s="9" t="str">
        <f>'Tab.G1.1-4'!$D$11</f>
        <v>[tys. zł]</v>
      </c>
      <c r="E61" s="155">
        <f>SUM(E62:E63)</f>
        <v>0</v>
      </c>
      <c r="F61" s="709"/>
      <c r="G61" s="709"/>
      <c r="H61" s="709"/>
      <c r="I61" s="709"/>
      <c r="J61" s="709"/>
      <c r="K61" s="709"/>
      <c r="L61" s="838"/>
      <c r="M61" s="838"/>
      <c r="N61" s="838"/>
      <c r="O61" s="838"/>
    </row>
    <row r="62" spans="1:15" ht="18.899999999999999" customHeight="1">
      <c r="A62" s="876"/>
      <c r="B62" s="640" t="str">
        <v>53</v>
      </c>
      <c r="C62" s="266" t="s">
        <v>35</v>
      </c>
      <c r="D62" s="6" t="str">
        <f>'Tab.G1.1-4'!$D$11</f>
        <v>[tys. zł]</v>
      </c>
      <c r="E62" s="152"/>
      <c r="F62" s="709"/>
      <c r="G62" s="709"/>
      <c r="H62" s="709"/>
      <c r="I62" s="709"/>
      <c r="J62" s="709"/>
      <c r="K62" s="709"/>
      <c r="L62" s="838"/>
      <c r="M62" s="838"/>
      <c r="N62" s="838"/>
      <c r="O62" s="838"/>
    </row>
    <row r="63" spans="1:15" ht="18.899999999999999" customHeight="1">
      <c r="A63" s="876"/>
      <c r="B63" s="645" t="str">
        <v>54</v>
      </c>
      <c r="C63" s="269" t="s">
        <v>33</v>
      </c>
      <c r="D63" s="270" t="str">
        <f>'Tab.G1.1-4'!$D$11</f>
        <v>[tys. zł]</v>
      </c>
      <c r="E63" s="271"/>
      <c r="F63" s="709"/>
      <c r="G63" s="709"/>
      <c r="H63" s="709"/>
      <c r="I63" s="709"/>
      <c r="J63" s="709"/>
      <c r="K63" s="709"/>
      <c r="L63" s="838"/>
      <c r="M63" s="838"/>
      <c r="N63" s="838"/>
      <c r="O63" s="838"/>
    </row>
    <row r="64" spans="1:15" ht="18.899999999999999" customHeight="1">
      <c r="A64" s="876"/>
      <c r="B64" s="643" t="str">
        <v>55</v>
      </c>
      <c r="C64" s="13" t="s">
        <v>135</v>
      </c>
      <c r="D64" s="9" t="str">
        <f>'Tab.G1.1-4'!$D$11</f>
        <v>[tys. zł]</v>
      </c>
      <c r="E64" s="155">
        <f>SUM(E65:E66)</f>
        <v>0</v>
      </c>
      <c r="F64" s="709"/>
      <c r="G64" s="709"/>
      <c r="H64" s="709"/>
      <c r="I64" s="709"/>
      <c r="J64" s="709"/>
      <c r="K64" s="709"/>
      <c r="L64" s="838"/>
      <c r="M64" s="838"/>
      <c r="N64" s="838"/>
      <c r="O64" s="838"/>
    </row>
    <row r="65" spans="1:15" ht="18.899999999999999" customHeight="1">
      <c r="A65" s="875"/>
      <c r="B65" s="640" t="str">
        <v>56</v>
      </c>
      <c r="C65" s="266" t="s">
        <v>35</v>
      </c>
      <c r="D65" s="6" t="str">
        <f>'Tab.G1.1-4'!$D$11</f>
        <v>[tys. zł]</v>
      </c>
      <c r="E65" s="152"/>
      <c r="F65" s="709"/>
      <c r="G65" s="709"/>
      <c r="H65" s="709"/>
      <c r="I65" s="709"/>
      <c r="J65" s="709"/>
      <c r="K65" s="709"/>
      <c r="L65" s="838"/>
      <c r="M65" s="838"/>
      <c r="N65" s="838"/>
      <c r="O65" s="838"/>
    </row>
    <row r="66" spans="1:15" ht="18.899999999999999" customHeight="1">
      <c r="A66" s="875"/>
      <c r="B66" s="645" t="str">
        <v>57</v>
      </c>
      <c r="C66" s="269" t="s">
        <v>33</v>
      </c>
      <c r="D66" s="270" t="str">
        <f>'Tab.G1.1-4'!$D$11</f>
        <v>[tys. zł]</v>
      </c>
      <c r="E66" s="271"/>
      <c r="F66" s="709"/>
      <c r="G66" s="709"/>
      <c r="H66" s="709"/>
      <c r="I66" s="709"/>
      <c r="J66" s="709"/>
      <c r="K66" s="709"/>
      <c r="L66" s="838"/>
      <c r="M66" s="838"/>
      <c r="N66" s="838"/>
      <c r="O66" s="838"/>
    </row>
    <row r="67" spans="1:15" ht="18.899999999999999" customHeight="1" thickBot="1">
      <c r="A67" s="875"/>
      <c r="B67" s="648" t="str">
        <v>58</v>
      </c>
      <c r="C67" s="16" t="s">
        <v>136</v>
      </c>
      <c r="D67" s="17" t="str">
        <f>'Tab.G1.1-4'!$D$11</f>
        <v>[tys. zł]</v>
      </c>
      <c r="E67" s="157"/>
      <c r="F67" s="859"/>
      <c r="G67" s="709"/>
      <c r="H67" s="709"/>
      <c r="I67" s="709"/>
      <c r="J67" s="709"/>
      <c r="K67" s="709"/>
      <c r="L67" s="838"/>
      <c r="M67" s="838"/>
      <c r="N67" s="838"/>
      <c r="O67" s="838"/>
    </row>
    <row r="68" spans="1:15" ht="18.899999999999999" customHeight="1">
      <c r="A68" s="875"/>
      <c r="B68" s="883"/>
      <c r="C68" s="884"/>
      <c r="D68" s="885"/>
      <c r="E68" s="860"/>
      <c r="F68" s="860"/>
      <c r="G68" s="709"/>
      <c r="H68" s="709"/>
      <c r="I68" s="709"/>
      <c r="J68" s="709"/>
      <c r="K68" s="709"/>
      <c r="L68" s="838"/>
      <c r="M68" s="838"/>
      <c r="N68" s="838"/>
      <c r="O68" s="838"/>
    </row>
    <row r="69" spans="1:15" ht="18.899999999999999" customHeight="1">
      <c r="A69" s="875"/>
      <c r="B69" s="709"/>
      <c r="C69" s="886"/>
      <c r="D69" s="885"/>
      <c r="E69" s="860"/>
      <c r="F69" s="860"/>
      <c r="G69" s="709"/>
      <c r="H69" s="709"/>
      <c r="I69" s="709"/>
      <c r="J69" s="709"/>
      <c r="K69" s="709"/>
      <c r="L69" s="838"/>
      <c r="M69" s="838"/>
      <c r="N69" s="838"/>
      <c r="O69" s="838"/>
    </row>
    <row r="70" spans="1:15" ht="30" customHeight="1" thickBot="1">
      <c r="A70" s="875"/>
      <c r="B70" s="700" t="s">
        <v>252</v>
      </c>
      <c r="C70" s="709"/>
      <c r="D70" s="709"/>
      <c r="E70" s="861"/>
      <c r="F70" s="861"/>
      <c r="G70" s="709"/>
      <c r="H70" s="709"/>
      <c r="I70" s="709"/>
      <c r="J70" s="709"/>
      <c r="K70" s="709"/>
      <c r="L70" s="838"/>
      <c r="M70" s="838"/>
      <c r="N70" s="838"/>
      <c r="O70" s="838"/>
    </row>
    <row r="71" spans="1:15" ht="18.899999999999999" customHeight="1">
      <c r="A71" s="875"/>
      <c r="B71" s="996" t="str">
        <f>'Tab.G1.1-4'!$B$8</f>
        <v>LP</v>
      </c>
      <c r="C71" s="1003" t="str">
        <f>'Tab.G1.1-4'!$C$8</f>
        <v>Wyszczególnienie</v>
      </c>
      <c r="D71" s="999"/>
      <c r="E71" s="632" t="str">
        <f>'Tab.G1.1-4'!$E$8</f>
        <v>Wykonanie</v>
      </c>
      <c r="F71" s="861"/>
      <c r="G71" s="709"/>
      <c r="H71" s="709"/>
      <c r="I71" s="709"/>
      <c r="J71" s="709"/>
      <c r="K71" s="709"/>
      <c r="L71" s="838"/>
      <c r="M71" s="838"/>
      <c r="N71" s="838"/>
      <c r="O71" s="838"/>
    </row>
    <row r="72" spans="1:15" ht="18.899999999999999" customHeight="1">
      <c r="A72" s="875"/>
      <c r="B72" s="997"/>
      <c r="C72" s="1004"/>
      <c r="D72" s="1001"/>
      <c r="E72" s="633">
        <f>Rok_ZPR</f>
        <v>2020</v>
      </c>
      <c r="F72" s="862"/>
      <c r="G72" s="709"/>
      <c r="H72" s="709"/>
      <c r="I72" s="709"/>
      <c r="J72" s="709"/>
      <c r="K72" s="709"/>
      <c r="L72" s="838"/>
      <c r="M72" s="838"/>
      <c r="N72" s="838"/>
      <c r="O72" s="838"/>
    </row>
    <row r="73" spans="1:15" ht="14.1" customHeight="1" thickBot="1">
      <c r="A73" s="875"/>
      <c r="B73" s="649" t="str">
        <f t="array" ref="B73:B130">Tab.G17!$B$10:$B$67</f>
        <v>01</v>
      </c>
      <c r="C73" s="994" t="str">
        <f>Tab.G17!$B$11</f>
        <v>02</v>
      </c>
      <c r="D73" s="995"/>
      <c r="E73" s="650" t="str">
        <f>Tab.G17!$B$12</f>
        <v>03</v>
      </c>
      <c r="F73" s="863"/>
      <c r="G73" s="709"/>
      <c r="H73" s="709"/>
      <c r="I73" s="709"/>
      <c r="J73" s="709"/>
      <c r="K73" s="709"/>
      <c r="L73" s="838"/>
      <c r="M73" s="838"/>
      <c r="N73" s="838"/>
      <c r="O73" s="838"/>
    </row>
    <row r="74" spans="1:15" ht="18.899999999999999" customHeight="1" thickBot="1">
      <c r="A74" s="875"/>
      <c r="B74" s="646" t="str">
        <v>02</v>
      </c>
      <c r="C74" s="1" t="s">
        <v>116</v>
      </c>
      <c r="D74" s="2" t="str">
        <f>'Tab.G2.1-3'!$D$72</f>
        <v>[km]</v>
      </c>
      <c r="E74" s="149">
        <f>SUM(E75,E86,E102)</f>
        <v>0</v>
      </c>
      <c r="F74" s="864"/>
      <c r="G74" s="709"/>
      <c r="H74" s="709"/>
      <c r="I74" s="709"/>
      <c r="J74" s="709"/>
      <c r="K74" s="709"/>
      <c r="L74" s="838"/>
      <c r="M74" s="838"/>
      <c r="N74" s="838"/>
      <c r="O74" s="838"/>
    </row>
    <row r="75" spans="1:15" ht="18.899999999999999" customHeight="1" thickBot="1">
      <c r="A75" s="875"/>
      <c r="B75" s="638" t="str">
        <v>03</v>
      </c>
      <c r="C75" s="3" t="s">
        <v>124</v>
      </c>
      <c r="D75" s="4" t="str">
        <f>'Tab.G2.1-3'!$D$72</f>
        <v>[km]</v>
      </c>
      <c r="E75" s="150">
        <f>SUM(E76,E81)</f>
        <v>0</v>
      </c>
      <c r="F75" s="865"/>
      <c r="G75" s="709"/>
      <c r="H75" s="709"/>
      <c r="I75" s="709"/>
      <c r="J75" s="709"/>
      <c r="K75" s="709"/>
      <c r="L75" s="838"/>
      <c r="M75" s="838"/>
      <c r="N75" s="838"/>
      <c r="O75" s="838"/>
    </row>
    <row r="76" spans="1:15" ht="18.899999999999999" customHeight="1">
      <c r="A76" s="875"/>
      <c r="B76" s="639" t="str">
        <v>04</v>
      </c>
      <c r="C76" s="261" t="s">
        <v>75</v>
      </c>
      <c r="D76" s="5" t="str">
        <f>'Tab.G2.1-3'!$D$72</f>
        <v>[km]</v>
      </c>
      <c r="E76" s="151">
        <f>SUM(E77:E80)</f>
        <v>0</v>
      </c>
      <c r="F76" s="866"/>
      <c r="G76" s="709"/>
      <c r="H76" s="709"/>
      <c r="I76" s="709"/>
      <c r="J76" s="709"/>
      <c r="K76" s="709"/>
      <c r="L76" s="838"/>
      <c r="M76" s="838"/>
      <c r="N76" s="838"/>
      <c r="O76" s="838"/>
    </row>
    <row r="77" spans="1:15" ht="18.899999999999999" customHeight="1">
      <c r="A77" s="875"/>
      <c r="B77" s="640" t="str">
        <v>05</v>
      </c>
      <c r="C77" s="263" t="s">
        <v>76</v>
      </c>
      <c r="D77" s="6" t="str">
        <f>'Tab.G2.1-3'!$D$72</f>
        <v>[km]</v>
      </c>
      <c r="E77" s="152"/>
      <c r="F77" s="867"/>
      <c r="G77" s="709"/>
      <c r="H77" s="709"/>
      <c r="I77" s="709"/>
      <c r="J77" s="709"/>
      <c r="K77" s="709"/>
      <c r="L77" s="838"/>
      <c r="M77" s="838"/>
      <c r="N77" s="838"/>
      <c r="O77" s="838"/>
    </row>
    <row r="78" spans="1:15" ht="18.899999999999999" customHeight="1">
      <c r="A78" s="875"/>
      <c r="B78" s="641" t="str">
        <v>06</v>
      </c>
      <c r="C78" s="264" t="s">
        <v>77</v>
      </c>
      <c r="D78" s="7" t="str">
        <f>'Tab.G2.1-3'!$D$72</f>
        <v>[km]</v>
      </c>
      <c r="E78" s="153"/>
      <c r="F78" s="867"/>
      <c r="G78" s="709"/>
      <c r="H78" s="709"/>
      <c r="I78" s="709"/>
      <c r="J78" s="709"/>
      <c r="K78" s="709"/>
      <c r="L78" s="838"/>
      <c r="M78" s="838"/>
      <c r="N78" s="838"/>
      <c r="O78" s="838"/>
    </row>
    <row r="79" spans="1:15" ht="18.899999999999999" customHeight="1">
      <c r="A79" s="875"/>
      <c r="B79" s="641" t="str">
        <v>07</v>
      </c>
      <c r="C79" s="264" t="s">
        <v>78</v>
      </c>
      <c r="D79" s="7" t="str">
        <f>'Tab.G2.1-3'!$D$72</f>
        <v>[km]</v>
      </c>
      <c r="E79" s="153"/>
      <c r="F79" s="866"/>
      <c r="G79" s="709"/>
      <c r="H79" s="709"/>
      <c r="I79" s="709"/>
      <c r="J79" s="709"/>
      <c r="K79" s="709"/>
      <c r="L79" s="838"/>
      <c r="M79" s="838"/>
      <c r="N79" s="838"/>
      <c r="O79" s="838"/>
    </row>
    <row r="80" spans="1:15" ht="18.899999999999999" customHeight="1">
      <c r="A80" s="875"/>
      <c r="B80" s="642" t="str">
        <v>08</v>
      </c>
      <c r="C80" s="267" t="s">
        <v>79</v>
      </c>
      <c r="D80" s="8" t="str">
        <f>'Tab.G2.1-3'!$D$72</f>
        <v>[km]</v>
      </c>
      <c r="E80" s="154"/>
      <c r="F80" s="867"/>
      <c r="G80" s="709"/>
      <c r="H80" s="709"/>
      <c r="I80" s="709"/>
      <c r="J80" s="709"/>
      <c r="K80" s="709"/>
      <c r="L80" s="838"/>
      <c r="M80" s="838"/>
      <c r="N80" s="838"/>
      <c r="O80" s="838"/>
    </row>
    <row r="81" spans="1:15" ht="18.899999999999999" customHeight="1">
      <c r="A81" s="875"/>
      <c r="B81" s="643" t="str">
        <v>09</v>
      </c>
      <c r="C81" s="262" t="s">
        <v>80</v>
      </c>
      <c r="D81" s="9" t="str">
        <f>'Tab.G2.1-3'!$D$72</f>
        <v>[km]</v>
      </c>
      <c r="E81" s="155">
        <f>SUM(E82:E85)</f>
        <v>0</v>
      </c>
      <c r="F81" s="867"/>
      <c r="G81" s="709"/>
      <c r="H81" s="709"/>
      <c r="I81" s="709"/>
      <c r="J81" s="709"/>
      <c r="K81" s="709"/>
      <c r="L81" s="838"/>
      <c r="M81" s="838"/>
      <c r="N81" s="838"/>
      <c r="O81" s="838"/>
    </row>
    <row r="82" spans="1:15" ht="18.899999999999999" customHeight="1">
      <c r="A82" s="875"/>
      <c r="B82" s="640" t="str">
        <v>10</v>
      </c>
      <c r="C82" s="263" t="s">
        <v>76</v>
      </c>
      <c r="D82" s="6" t="str">
        <f>'Tab.G2.1-3'!$D$72</f>
        <v>[km]</v>
      </c>
      <c r="E82" s="152"/>
      <c r="F82" s="866"/>
      <c r="G82" s="709"/>
      <c r="H82" s="709"/>
      <c r="I82" s="709"/>
      <c r="J82" s="709"/>
      <c r="K82" s="709"/>
      <c r="L82" s="838"/>
      <c r="M82" s="838"/>
      <c r="N82" s="838"/>
      <c r="O82" s="838"/>
    </row>
    <row r="83" spans="1:15" ht="18.899999999999999" customHeight="1">
      <c r="A83" s="875"/>
      <c r="B83" s="641" t="str">
        <v>11</v>
      </c>
      <c r="C83" s="264" t="s">
        <v>77</v>
      </c>
      <c r="D83" s="7" t="str">
        <f>'Tab.G2.1-3'!$D$72</f>
        <v>[km]</v>
      </c>
      <c r="E83" s="153"/>
      <c r="F83" s="867"/>
      <c r="G83" s="867"/>
      <c r="H83" s="860"/>
      <c r="I83" s="868"/>
      <c r="J83" s="869"/>
      <c r="K83" s="869"/>
    </row>
    <row r="84" spans="1:15" ht="18.899999999999999" customHeight="1">
      <c r="A84" s="888"/>
      <c r="B84" s="641" t="str">
        <v>12</v>
      </c>
      <c r="C84" s="264" t="s">
        <v>78</v>
      </c>
      <c r="D84" s="7" t="str">
        <f>'Tab.G2.1-3'!$D$72</f>
        <v>[km]</v>
      </c>
      <c r="E84" s="153"/>
      <c r="F84" s="867"/>
      <c r="G84" s="867"/>
      <c r="H84" s="860"/>
      <c r="I84" s="868"/>
      <c r="J84" s="869"/>
      <c r="K84" s="869"/>
    </row>
    <row r="85" spans="1:15" ht="18.899999999999999" customHeight="1" thickBot="1">
      <c r="A85" s="888"/>
      <c r="B85" s="644" t="str">
        <v>13</v>
      </c>
      <c r="C85" s="268" t="s">
        <v>79</v>
      </c>
      <c r="D85" s="10" t="str">
        <f>'Tab.G2.1-3'!$D$72</f>
        <v>[km]</v>
      </c>
      <c r="E85" s="156"/>
      <c r="F85" s="866"/>
      <c r="G85" s="866"/>
      <c r="H85" s="861"/>
      <c r="I85" s="861"/>
      <c r="J85" s="869"/>
      <c r="K85" s="869"/>
    </row>
    <row r="86" spans="1:15" ht="18.899999999999999" customHeight="1" thickBot="1">
      <c r="A86" s="888"/>
      <c r="B86" s="638" t="str">
        <v>14</v>
      </c>
      <c r="C86" s="11" t="s">
        <v>125</v>
      </c>
      <c r="D86" s="4" t="str">
        <f>'Tab.G2.1-3'!$D$72</f>
        <v>[km]</v>
      </c>
      <c r="E86" s="150">
        <f>SUM(E87,E92,E97)</f>
        <v>0</v>
      </c>
      <c r="F86" s="870"/>
      <c r="G86" s="870"/>
      <c r="H86" s="861"/>
      <c r="I86" s="861"/>
      <c r="J86" s="869"/>
      <c r="K86" s="869"/>
    </row>
    <row r="87" spans="1:15" ht="18.899999999999999" customHeight="1">
      <c r="A87" s="888"/>
      <c r="B87" s="639" t="str">
        <v>15</v>
      </c>
      <c r="C87" s="261" t="s">
        <v>75</v>
      </c>
      <c r="D87" s="5" t="str">
        <f>'Tab.G2.1-3'!$D$72</f>
        <v>[km]</v>
      </c>
      <c r="E87" s="151">
        <f>SUM(E88:E91)</f>
        <v>0</v>
      </c>
      <c r="F87" s="870"/>
      <c r="G87" s="870"/>
      <c r="H87" s="862"/>
      <c r="I87" s="862"/>
      <c r="J87" s="869"/>
      <c r="K87" s="869"/>
    </row>
    <row r="88" spans="1:15" ht="18.899999999999999" customHeight="1">
      <c r="A88" s="888"/>
      <c r="B88" s="640" t="str">
        <v>16</v>
      </c>
      <c r="C88" s="263" t="s">
        <v>81</v>
      </c>
      <c r="D88" s="6" t="str">
        <f>'Tab.G2.1-3'!$D$72</f>
        <v>[km]</v>
      </c>
      <c r="E88" s="152"/>
      <c r="F88" s="870"/>
      <c r="G88" s="870"/>
      <c r="H88" s="863"/>
      <c r="I88" s="863"/>
      <c r="J88" s="869"/>
      <c r="K88" s="869"/>
    </row>
    <row r="89" spans="1:15" ht="18.899999999999999" customHeight="1">
      <c r="A89" s="888"/>
      <c r="B89" s="641" t="str">
        <v>17</v>
      </c>
      <c r="C89" s="264" t="s">
        <v>78</v>
      </c>
      <c r="D89" s="7" t="str">
        <f>'Tab.G2.1-3'!$D$72</f>
        <v>[km]</v>
      </c>
      <c r="E89" s="153"/>
      <c r="F89" s="866"/>
      <c r="G89" s="866"/>
      <c r="H89" s="864"/>
      <c r="I89" s="864"/>
      <c r="J89" s="869"/>
      <c r="K89" s="869"/>
    </row>
    <row r="90" spans="1:15" ht="18.899999999999999" customHeight="1">
      <c r="A90" s="888"/>
      <c r="B90" s="641" t="str">
        <v>18</v>
      </c>
      <c r="C90" s="265" t="s">
        <v>82</v>
      </c>
      <c r="D90" s="7" t="str">
        <f>'Tab.G2.1-3'!$D$72</f>
        <v>[km]</v>
      </c>
      <c r="E90" s="153"/>
      <c r="F90" s="870"/>
      <c r="G90" s="870"/>
      <c r="H90" s="865"/>
      <c r="I90" s="865"/>
      <c r="J90" s="869"/>
      <c r="K90" s="869"/>
    </row>
    <row r="91" spans="1:15" ht="18.899999999999999" customHeight="1">
      <c r="A91" s="888"/>
      <c r="B91" s="642" t="str">
        <v>19</v>
      </c>
      <c r="C91" s="267" t="s">
        <v>83</v>
      </c>
      <c r="D91" s="8" t="str">
        <f>'Tab.G2.1-3'!$D$72</f>
        <v>[km]</v>
      </c>
      <c r="E91" s="154"/>
      <c r="F91" s="870"/>
      <c r="G91" s="870"/>
      <c r="H91" s="866"/>
      <c r="I91" s="866"/>
      <c r="J91" s="869"/>
      <c r="K91" s="869"/>
    </row>
    <row r="92" spans="1:15" ht="18.899999999999999" customHeight="1">
      <c r="A92" s="888"/>
      <c r="B92" s="643" t="str">
        <v>20</v>
      </c>
      <c r="C92" s="262" t="s">
        <v>80</v>
      </c>
      <c r="D92" s="9" t="str">
        <f>'Tab.G2.1-3'!$D$72</f>
        <v>[km]</v>
      </c>
      <c r="E92" s="155">
        <f>SUM(E93:E96)</f>
        <v>0</v>
      </c>
      <c r="F92" s="866"/>
      <c r="G92" s="866"/>
      <c r="H92" s="867"/>
      <c r="I92" s="867"/>
      <c r="J92" s="869"/>
      <c r="K92" s="869"/>
    </row>
    <row r="93" spans="1:15" ht="18.899999999999999" customHeight="1">
      <c r="A93" s="888"/>
      <c r="B93" s="640" t="str">
        <v>21</v>
      </c>
      <c r="C93" s="263" t="s">
        <v>81</v>
      </c>
      <c r="D93" s="6" t="str">
        <f>'Tab.G2.1-3'!$D$72</f>
        <v>[km]</v>
      </c>
      <c r="E93" s="152"/>
      <c r="F93" s="866"/>
      <c r="G93" s="866"/>
      <c r="H93" s="867"/>
      <c r="I93" s="867"/>
      <c r="J93" s="869"/>
      <c r="K93" s="869"/>
    </row>
    <row r="94" spans="1:15" ht="18.899999999999999" customHeight="1">
      <c r="A94" s="888"/>
      <c r="B94" s="641" t="str">
        <v>22</v>
      </c>
      <c r="C94" s="264" t="s">
        <v>78</v>
      </c>
      <c r="D94" s="7" t="str">
        <f>'Tab.G2.1-3'!$D$72</f>
        <v>[km]</v>
      </c>
      <c r="E94" s="153"/>
      <c r="F94" s="871"/>
      <c r="G94" s="871"/>
      <c r="H94" s="866"/>
      <c r="I94" s="866"/>
      <c r="J94" s="869"/>
      <c r="K94" s="869"/>
    </row>
    <row r="95" spans="1:15" ht="18.899999999999999" customHeight="1">
      <c r="A95" s="888"/>
      <c r="B95" s="641" t="str">
        <v>23</v>
      </c>
      <c r="C95" s="265" t="s">
        <v>82</v>
      </c>
      <c r="D95" s="7" t="str">
        <f>'Tab.G2.1-3'!$D$72</f>
        <v>[km]</v>
      </c>
      <c r="E95" s="153"/>
      <c r="F95" s="871"/>
      <c r="G95" s="871"/>
      <c r="H95" s="867"/>
      <c r="I95" s="867"/>
      <c r="J95" s="869"/>
      <c r="K95" s="869"/>
    </row>
    <row r="96" spans="1:15" ht="18.899999999999999" customHeight="1">
      <c r="A96" s="888"/>
      <c r="B96" s="645" t="str">
        <v>24</v>
      </c>
      <c r="C96" s="338" t="s">
        <v>83</v>
      </c>
      <c r="D96" s="270" t="str">
        <f>'Tab.G2.1-3'!$D$72</f>
        <v>[km]</v>
      </c>
      <c r="E96" s="271"/>
      <c r="F96" s="870"/>
      <c r="G96" s="870"/>
      <c r="H96" s="867"/>
      <c r="I96" s="867"/>
      <c r="J96" s="869"/>
      <c r="K96" s="869"/>
    </row>
    <row r="97" spans="1:11" ht="18.899999999999999" customHeight="1">
      <c r="A97" s="888"/>
      <c r="B97" s="643" t="str">
        <v>25</v>
      </c>
      <c r="C97" s="262" t="s">
        <v>171</v>
      </c>
      <c r="D97" s="9" t="str">
        <f>'Tab.G2.1-3'!$D$72</f>
        <v>[km]</v>
      </c>
      <c r="E97" s="155">
        <f>SUM(E98:E101)</f>
        <v>0</v>
      </c>
      <c r="F97" s="872"/>
      <c r="G97" s="872"/>
      <c r="H97" s="866"/>
      <c r="I97" s="866"/>
      <c r="J97" s="869"/>
      <c r="K97" s="869"/>
    </row>
    <row r="98" spans="1:11" ht="18.899999999999999" customHeight="1">
      <c r="A98" s="888"/>
      <c r="B98" s="640" t="str">
        <v>26</v>
      </c>
      <c r="C98" s="263" t="s">
        <v>81</v>
      </c>
      <c r="D98" s="6" t="str">
        <f>'Tab.G2.1-3'!$D$72</f>
        <v>[km]</v>
      </c>
      <c r="E98" s="152"/>
      <c r="F98" s="873"/>
      <c r="G98" s="873"/>
      <c r="H98" s="867"/>
      <c r="I98" s="867"/>
      <c r="J98" s="869"/>
      <c r="K98" s="869"/>
    </row>
    <row r="99" spans="1:11" ht="18.899999999999999" customHeight="1">
      <c r="A99" s="888"/>
      <c r="B99" s="641" t="str">
        <v>27</v>
      </c>
      <c r="C99" s="264" t="s">
        <v>78</v>
      </c>
      <c r="D99" s="7" t="str">
        <f>'Tab.G2.1-3'!$D$72</f>
        <v>[km]</v>
      </c>
      <c r="E99" s="153"/>
      <c r="F99" s="874"/>
      <c r="G99" s="874"/>
      <c r="H99" s="867"/>
      <c r="I99" s="867"/>
      <c r="J99" s="869"/>
      <c r="K99" s="869"/>
    </row>
    <row r="100" spans="1:11" ht="18.899999999999999" customHeight="1">
      <c r="A100" s="888"/>
      <c r="B100" s="641" t="str">
        <v>28</v>
      </c>
      <c r="C100" s="265" t="s">
        <v>82</v>
      </c>
      <c r="D100" s="7" t="str">
        <f>'Tab.G2.1-3'!$D$72</f>
        <v>[km]</v>
      </c>
      <c r="E100" s="153"/>
      <c r="F100" s="874"/>
      <c r="G100" s="874"/>
      <c r="H100" s="866"/>
      <c r="I100" s="866"/>
      <c r="J100" s="869"/>
      <c r="K100" s="869"/>
    </row>
    <row r="101" spans="1:11" ht="18.899999999999999" customHeight="1" thickBot="1">
      <c r="A101" s="888"/>
      <c r="B101" s="642" t="str">
        <v>29</v>
      </c>
      <c r="C101" s="267" t="s">
        <v>83</v>
      </c>
      <c r="D101" s="8" t="str">
        <f>'Tab.G2.1-3'!$D$72</f>
        <v>[km]</v>
      </c>
      <c r="E101" s="154"/>
      <c r="F101" s="875"/>
      <c r="G101" s="875"/>
      <c r="H101" s="870"/>
      <c r="I101" s="870"/>
      <c r="J101" s="869"/>
      <c r="K101" s="869"/>
    </row>
    <row r="102" spans="1:11" ht="18.899999999999999" customHeight="1" thickBot="1">
      <c r="A102" s="888"/>
      <c r="B102" s="638" t="str">
        <v>30</v>
      </c>
      <c r="C102" s="11" t="s">
        <v>172</v>
      </c>
      <c r="D102" s="4" t="str">
        <f>'Tab.G2.1-3'!$D$72</f>
        <v>[km]</v>
      </c>
      <c r="E102" s="150"/>
      <c r="F102" s="875"/>
      <c r="G102" s="875"/>
      <c r="H102" s="870"/>
      <c r="I102" s="870"/>
      <c r="J102" s="869"/>
      <c r="K102" s="869"/>
    </row>
    <row r="103" spans="1:11" ht="18.899999999999999" customHeight="1" thickBot="1">
      <c r="A103" s="888"/>
      <c r="B103" s="646" t="str">
        <v>31</v>
      </c>
      <c r="C103" s="1" t="s">
        <v>117</v>
      </c>
      <c r="D103" s="2" t="str">
        <f>'Tab.G2.1-3'!$D$106</f>
        <v>[szt.]</v>
      </c>
      <c r="E103" s="149">
        <f>SUM(E104,E108,E112,E116:E117)</f>
        <v>0</v>
      </c>
      <c r="F103" s="876"/>
      <c r="G103" s="876"/>
      <c r="H103" s="870"/>
      <c r="I103" s="870"/>
      <c r="J103" s="869"/>
      <c r="K103" s="869"/>
    </row>
    <row r="104" spans="1:11" ht="18.899999999999999" customHeight="1">
      <c r="A104" s="888"/>
      <c r="B104" s="639" t="str">
        <v>32</v>
      </c>
      <c r="C104" s="12" t="s">
        <v>119</v>
      </c>
      <c r="D104" s="5" t="str">
        <f>'Tab.G2.1-3'!$D$106</f>
        <v>[szt.]</v>
      </c>
      <c r="E104" s="151">
        <f>SUM(E105:E107)</f>
        <v>0</v>
      </c>
      <c r="F104" s="876"/>
      <c r="G104" s="876"/>
      <c r="H104" s="866"/>
      <c r="I104" s="866"/>
      <c r="J104" s="869"/>
      <c r="K104" s="869"/>
    </row>
    <row r="105" spans="1:11" ht="18.899999999999999" customHeight="1">
      <c r="A105" s="888"/>
      <c r="B105" s="640" t="str">
        <v>33</v>
      </c>
      <c r="C105" s="263" t="s">
        <v>88</v>
      </c>
      <c r="D105" s="6" t="str">
        <f>'Tab.G2.1-3'!$D$106</f>
        <v>[szt.]</v>
      </c>
      <c r="E105" s="152"/>
      <c r="F105" s="876"/>
      <c r="G105" s="876"/>
      <c r="H105" s="870"/>
      <c r="I105" s="870"/>
      <c r="J105" s="869"/>
      <c r="K105" s="869"/>
    </row>
    <row r="106" spans="1:11" ht="18.899999999999999" customHeight="1">
      <c r="A106" s="888"/>
      <c r="B106" s="641" t="str">
        <v>34</v>
      </c>
      <c r="C106" s="264" t="s">
        <v>89</v>
      </c>
      <c r="D106" s="7" t="str">
        <f>'Tab.G2.1-3'!$D$106</f>
        <v>[szt.]</v>
      </c>
      <c r="E106" s="153"/>
      <c r="F106" s="876"/>
      <c r="G106" s="876"/>
      <c r="H106" s="870"/>
      <c r="I106" s="870"/>
      <c r="J106" s="869"/>
      <c r="K106" s="869"/>
    </row>
    <row r="107" spans="1:11" ht="18.899999999999999" customHeight="1">
      <c r="A107" s="888"/>
      <c r="B107" s="642" t="str">
        <v>35</v>
      </c>
      <c r="C107" s="272" t="s">
        <v>90</v>
      </c>
      <c r="D107" s="8" t="str">
        <f>'Tab.G2.1-3'!$D$106</f>
        <v>[szt.]</v>
      </c>
      <c r="E107" s="154"/>
      <c r="F107" s="876"/>
      <c r="G107" s="876"/>
      <c r="H107" s="866"/>
      <c r="I107" s="866"/>
      <c r="J107" s="869"/>
      <c r="K107" s="869"/>
    </row>
    <row r="108" spans="1:11" ht="18.899999999999999" customHeight="1">
      <c r="A108" s="872"/>
      <c r="B108" s="643" t="str">
        <v>36</v>
      </c>
      <c r="C108" s="13" t="s">
        <v>120</v>
      </c>
      <c r="D108" s="9" t="str">
        <f>'Tab.G2.1-3'!$D$106</f>
        <v>[szt.]</v>
      </c>
      <c r="E108" s="155">
        <f>SUM(E109:E111)</f>
        <v>0</v>
      </c>
      <c r="F108" s="876"/>
      <c r="G108" s="876"/>
      <c r="H108" s="866"/>
      <c r="I108" s="866"/>
      <c r="J108" s="869"/>
      <c r="K108" s="869"/>
    </row>
    <row r="109" spans="1:11" ht="18.899999999999999" customHeight="1">
      <c r="A109" s="888"/>
      <c r="B109" s="640" t="str">
        <v>37</v>
      </c>
      <c r="C109" s="263" t="s">
        <v>91</v>
      </c>
      <c r="D109" s="6" t="str">
        <f>'Tab.G2.1-3'!$D$106</f>
        <v>[szt.]</v>
      </c>
      <c r="E109" s="152"/>
      <c r="F109" s="876"/>
      <c r="G109" s="876"/>
      <c r="H109" s="871"/>
      <c r="I109" s="871"/>
      <c r="J109" s="869"/>
      <c r="K109" s="869"/>
    </row>
    <row r="110" spans="1:11" ht="18.899999999999999" customHeight="1">
      <c r="A110" s="888"/>
      <c r="B110" s="641" t="str">
        <v>38</v>
      </c>
      <c r="C110" s="265" t="s">
        <v>92</v>
      </c>
      <c r="D110" s="7" t="str">
        <f>'Tab.G2.1-3'!$D$106</f>
        <v>[szt.]</v>
      </c>
      <c r="E110" s="153"/>
      <c r="F110" s="876"/>
      <c r="G110" s="876"/>
      <c r="H110" s="871"/>
      <c r="I110" s="871"/>
      <c r="J110" s="869"/>
      <c r="K110" s="869"/>
    </row>
    <row r="111" spans="1:11" ht="18.899999999999999" customHeight="1">
      <c r="A111" s="888"/>
      <c r="B111" s="642" t="str">
        <v>39</v>
      </c>
      <c r="C111" s="272" t="s">
        <v>93</v>
      </c>
      <c r="D111" s="8" t="str">
        <f>'Tab.G2.1-3'!$D$106</f>
        <v>[szt.]</v>
      </c>
      <c r="E111" s="154"/>
      <c r="F111" s="876"/>
      <c r="G111" s="876"/>
      <c r="H111" s="870"/>
      <c r="I111" s="870"/>
      <c r="J111" s="869"/>
      <c r="K111" s="869"/>
    </row>
    <row r="112" spans="1:11" ht="18.899999999999999" customHeight="1">
      <c r="A112" s="888"/>
      <c r="B112" s="643" t="str">
        <v>40</v>
      </c>
      <c r="C112" s="13" t="s">
        <v>121</v>
      </c>
      <c r="D112" s="9" t="str">
        <f>'Tab.G2.1-3'!$D$106</f>
        <v>[szt.]</v>
      </c>
      <c r="E112" s="155">
        <f>SUM(E113:E115)</f>
        <v>0</v>
      </c>
      <c r="F112" s="876"/>
      <c r="G112" s="876"/>
      <c r="H112" s="872"/>
      <c r="I112" s="872"/>
      <c r="J112" s="869"/>
      <c r="K112" s="869"/>
    </row>
    <row r="113" spans="1:11" ht="18.899999999999999" customHeight="1">
      <c r="A113" s="888"/>
      <c r="B113" s="640" t="str">
        <v>41</v>
      </c>
      <c r="C113" s="263" t="s">
        <v>91</v>
      </c>
      <c r="D113" s="6" t="str">
        <f>'Tab.G2.1-3'!$D$106</f>
        <v>[szt.]</v>
      </c>
      <c r="E113" s="152"/>
      <c r="F113" s="876"/>
      <c r="G113" s="876"/>
      <c r="H113" s="873"/>
      <c r="I113" s="873"/>
      <c r="J113" s="869"/>
      <c r="K113" s="869"/>
    </row>
    <row r="114" spans="1:11" ht="18.899999999999999" customHeight="1">
      <c r="A114" s="874"/>
      <c r="B114" s="641" t="str">
        <v>42</v>
      </c>
      <c r="C114" s="265" t="s">
        <v>92</v>
      </c>
      <c r="D114" s="7" t="str">
        <f>'Tab.G2.1-3'!$D$106</f>
        <v>[szt.]</v>
      </c>
      <c r="E114" s="153"/>
      <c r="F114" s="876"/>
      <c r="G114" s="876"/>
      <c r="H114" s="874"/>
      <c r="I114" s="874"/>
      <c r="J114" s="869"/>
      <c r="K114" s="869"/>
    </row>
    <row r="115" spans="1:11" ht="18.899999999999999" customHeight="1">
      <c r="A115" s="877"/>
      <c r="B115" s="642" t="str">
        <v>43</v>
      </c>
      <c r="C115" s="272" t="s">
        <v>93</v>
      </c>
      <c r="D115" s="8" t="str">
        <f>'Tab.G2.1-3'!$D$106</f>
        <v>[szt.]</v>
      </c>
      <c r="E115" s="154"/>
      <c r="F115" s="876"/>
      <c r="G115" s="876"/>
      <c r="H115" s="877"/>
      <c r="I115" s="874"/>
      <c r="J115" s="869"/>
      <c r="K115" s="869"/>
    </row>
    <row r="116" spans="1:11" ht="18.899999999999999" customHeight="1">
      <c r="A116" s="878"/>
      <c r="B116" s="647" t="str">
        <v>44</v>
      </c>
      <c r="C116" s="14" t="s">
        <v>122</v>
      </c>
      <c r="D116" s="15" t="str">
        <f>'Tab.G2.1-3'!$D$106</f>
        <v>[szt.]</v>
      </c>
      <c r="E116" s="155"/>
      <c r="F116" s="876"/>
      <c r="G116" s="876"/>
      <c r="H116" s="878"/>
      <c r="I116" s="875"/>
      <c r="J116" s="869"/>
      <c r="K116" s="869"/>
    </row>
    <row r="117" spans="1:11" ht="18.899999999999999" customHeight="1" thickBot="1">
      <c r="A117" s="878"/>
      <c r="B117" s="648" t="str">
        <v>45</v>
      </c>
      <c r="C117" s="16" t="s">
        <v>123</v>
      </c>
      <c r="D117" s="17" t="str">
        <f>'Tab.G2.1-3'!$D$106</f>
        <v>[szt.]</v>
      </c>
      <c r="E117" s="157"/>
      <c r="F117" s="876"/>
      <c r="G117" s="876"/>
      <c r="H117" s="878"/>
      <c r="I117" s="875"/>
      <c r="J117" s="869"/>
      <c r="K117" s="869"/>
    </row>
    <row r="118" spans="1:11" ht="18.899999999999999" customHeight="1" thickBot="1">
      <c r="A118" s="878"/>
      <c r="B118" s="646" t="str">
        <v>46</v>
      </c>
      <c r="C118" s="1" t="s">
        <v>130</v>
      </c>
      <c r="D118" s="2" t="str">
        <f>'Tab.G2.1-3'!$D$106</f>
        <v>[szt.]</v>
      </c>
      <c r="E118" s="149">
        <f>SUM(E119,E124,E127,E130)</f>
        <v>0</v>
      </c>
      <c r="F118" s="876"/>
      <c r="G118" s="876"/>
      <c r="H118" s="878"/>
      <c r="I118" s="876"/>
      <c r="J118" s="869"/>
      <c r="K118" s="869"/>
    </row>
    <row r="119" spans="1:11" ht="18.899999999999999" customHeight="1">
      <c r="A119" s="878"/>
      <c r="B119" s="639" t="str">
        <v>47</v>
      </c>
      <c r="C119" s="12" t="s">
        <v>131</v>
      </c>
      <c r="D119" s="5" t="str">
        <f>'Tab.G2.1-3'!$D$106</f>
        <v>[szt.]</v>
      </c>
      <c r="E119" s="151">
        <f>SUM(E120:E123)</f>
        <v>0</v>
      </c>
      <c r="F119" s="876"/>
      <c r="G119" s="876"/>
      <c r="H119" s="878"/>
      <c r="I119" s="876"/>
      <c r="J119" s="869"/>
      <c r="K119" s="869"/>
    </row>
    <row r="120" spans="1:11" ht="18.899999999999999" customHeight="1">
      <c r="A120" s="878"/>
      <c r="B120" s="640" t="str">
        <v>48</v>
      </c>
      <c r="C120" s="266" t="s">
        <v>132</v>
      </c>
      <c r="D120" s="6" t="str">
        <f>'Tab.G2.1-3'!$D$106</f>
        <v>[szt.]</v>
      </c>
      <c r="E120" s="152"/>
      <c r="F120" s="876"/>
      <c r="G120" s="876"/>
      <c r="H120" s="878"/>
      <c r="I120" s="876"/>
      <c r="J120" s="869"/>
      <c r="K120" s="869"/>
    </row>
    <row r="121" spans="1:11" ht="18.899999999999999" customHeight="1">
      <c r="A121" s="878"/>
      <c r="B121" s="641" t="str">
        <v>49</v>
      </c>
      <c r="C121" s="265" t="s">
        <v>173</v>
      </c>
      <c r="D121" s="7" t="str">
        <f>'Tab.G2.1-3'!$D$106</f>
        <v>[szt.]</v>
      </c>
      <c r="E121" s="153"/>
      <c r="F121" s="876"/>
      <c r="G121" s="876"/>
      <c r="H121" s="878"/>
      <c r="I121" s="876"/>
      <c r="J121" s="869"/>
      <c r="K121" s="869"/>
    </row>
    <row r="122" spans="1:11" ht="18.899999999999999" customHeight="1">
      <c r="A122" s="878"/>
      <c r="B122" s="641" t="str">
        <v>50</v>
      </c>
      <c r="C122" s="265" t="s">
        <v>133</v>
      </c>
      <c r="D122" s="7" t="str">
        <f>'Tab.G2.1-3'!$D$106</f>
        <v>[szt.]</v>
      </c>
      <c r="E122" s="153"/>
      <c r="F122" s="876"/>
      <c r="G122" s="876"/>
      <c r="H122" s="878"/>
      <c r="I122" s="876"/>
      <c r="J122" s="869"/>
      <c r="K122" s="869"/>
    </row>
    <row r="123" spans="1:11" ht="18.899999999999999" customHeight="1">
      <c r="A123" s="878"/>
      <c r="B123" s="642" t="str">
        <v>51</v>
      </c>
      <c r="C123" s="339" t="s">
        <v>174</v>
      </c>
      <c r="D123" s="8" t="str">
        <f>'Tab.G2.1-3'!$D$106</f>
        <v>[szt.]</v>
      </c>
      <c r="E123" s="154"/>
      <c r="F123" s="876"/>
      <c r="G123" s="876"/>
      <c r="H123" s="878"/>
      <c r="I123" s="876"/>
      <c r="J123" s="869"/>
      <c r="K123" s="869"/>
    </row>
    <row r="124" spans="1:11" ht="18.899999999999999" customHeight="1">
      <c r="A124" s="878"/>
      <c r="B124" s="643" t="str">
        <v>52</v>
      </c>
      <c r="C124" s="13" t="s">
        <v>134</v>
      </c>
      <c r="D124" s="9" t="str">
        <f>'Tab.G2.1-3'!$D$106</f>
        <v>[szt.]</v>
      </c>
      <c r="E124" s="155">
        <f>SUM(E125:E126)</f>
        <v>0</v>
      </c>
      <c r="F124" s="876"/>
      <c r="G124" s="876"/>
      <c r="H124" s="878"/>
      <c r="I124" s="876"/>
      <c r="J124" s="869"/>
      <c r="K124" s="869"/>
    </row>
    <row r="125" spans="1:11" ht="18.899999999999999" customHeight="1">
      <c r="A125" s="878"/>
      <c r="B125" s="640" t="str">
        <v>53</v>
      </c>
      <c r="C125" s="266" t="s">
        <v>35</v>
      </c>
      <c r="D125" s="6" t="str">
        <f>'Tab.G2.1-3'!$D$106</f>
        <v>[szt.]</v>
      </c>
      <c r="E125" s="152"/>
      <c r="F125" s="876"/>
      <c r="G125" s="876"/>
      <c r="H125" s="878"/>
      <c r="I125" s="876"/>
      <c r="J125" s="869"/>
      <c r="K125" s="869"/>
    </row>
    <row r="126" spans="1:11" ht="18.899999999999999" customHeight="1">
      <c r="A126" s="878"/>
      <c r="B126" s="645" t="str">
        <v>54</v>
      </c>
      <c r="C126" s="269" t="s">
        <v>33</v>
      </c>
      <c r="D126" s="270" t="str">
        <f>'Tab.G2.1-3'!$D$106</f>
        <v>[szt.]</v>
      </c>
      <c r="E126" s="271"/>
      <c r="F126" s="876"/>
      <c r="G126" s="876"/>
      <c r="H126" s="878"/>
      <c r="I126" s="876"/>
      <c r="J126" s="869"/>
      <c r="K126" s="869"/>
    </row>
    <row r="127" spans="1:11" ht="18.899999999999999" customHeight="1">
      <c r="A127" s="878"/>
      <c r="B127" s="643" t="str">
        <v>55</v>
      </c>
      <c r="C127" s="13" t="s">
        <v>135</v>
      </c>
      <c r="D127" s="9" t="str">
        <f>'Tab.G2.1-3'!$D$106</f>
        <v>[szt.]</v>
      </c>
      <c r="E127" s="155">
        <f>SUM(E128:E129)</f>
        <v>0</v>
      </c>
      <c r="F127" s="876"/>
      <c r="G127" s="876"/>
      <c r="H127" s="878"/>
      <c r="I127" s="876"/>
      <c r="J127" s="869"/>
      <c r="K127" s="869"/>
    </row>
    <row r="128" spans="1:11" ht="18.899999999999999" customHeight="1">
      <c r="A128" s="878"/>
      <c r="B128" s="640" t="str">
        <v>56</v>
      </c>
      <c r="C128" s="266" t="s">
        <v>35</v>
      </c>
      <c r="D128" s="6" t="str">
        <f>'Tab.G2.1-3'!$D$106</f>
        <v>[szt.]</v>
      </c>
      <c r="E128" s="152"/>
      <c r="F128" s="876"/>
      <c r="G128" s="876"/>
      <c r="H128" s="878"/>
      <c r="I128" s="876"/>
      <c r="J128" s="869"/>
      <c r="K128" s="869"/>
    </row>
    <row r="129" spans="1:11" ht="18.899999999999999" customHeight="1">
      <c r="A129" s="878"/>
      <c r="B129" s="645" t="str">
        <v>57</v>
      </c>
      <c r="C129" s="269" t="s">
        <v>33</v>
      </c>
      <c r="D129" s="270" t="str">
        <f>'Tab.G2.1-3'!$D$106</f>
        <v>[szt.]</v>
      </c>
      <c r="E129" s="271"/>
      <c r="F129" s="876"/>
      <c r="G129" s="876"/>
      <c r="H129" s="878"/>
      <c r="I129" s="876"/>
      <c r="J129" s="869"/>
      <c r="K129" s="869"/>
    </row>
    <row r="130" spans="1:11" ht="18.899999999999999" customHeight="1" thickBot="1">
      <c r="A130" s="878"/>
      <c r="B130" s="648" t="str">
        <v>58</v>
      </c>
      <c r="C130" s="16" t="s">
        <v>136</v>
      </c>
      <c r="D130" s="17" t="str">
        <f>'Tab.G2.1-3'!$D$106</f>
        <v>[szt.]</v>
      </c>
      <c r="E130" s="157"/>
      <c r="F130" s="876"/>
      <c r="G130" s="876"/>
      <c r="H130" s="878"/>
      <c r="I130" s="876"/>
      <c r="J130" s="869"/>
      <c r="K130" s="869"/>
    </row>
    <row r="131" spans="1:11" ht="18.899999999999999" customHeight="1">
      <c r="A131" s="878"/>
      <c r="B131" s="878"/>
      <c r="C131" s="877"/>
      <c r="D131" s="887"/>
      <c r="E131" s="876"/>
      <c r="F131" s="876"/>
      <c r="G131" s="876"/>
      <c r="H131" s="878"/>
      <c r="I131" s="876"/>
      <c r="J131" s="869"/>
      <c r="K131" s="869"/>
    </row>
    <row r="132" spans="1:11" ht="18.899999999999999" customHeight="1">
      <c r="A132" s="878"/>
      <c r="B132" s="878"/>
      <c r="C132" s="877"/>
      <c r="D132" s="887"/>
      <c r="E132" s="876"/>
      <c r="F132" s="876"/>
      <c r="G132" s="876"/>
      <c r="H132" s="878"/>
      <c r="I132" s="876"/>
      <c r="J132" s="869"/>
      <c r="K132" s="869"/>
    </row>
    <row r="133" spans="1:11" ht="30" customHeight="1" thickBot="1">
      <c r="A133" s="878"/>
      <c r="B133" s="700" t="s">
        <v>251</v>
      </c>
      <c r="C133" s="877"/>
      <c r="D133" s="887"/>
      <c r="E133" s="876"/>
      <c r="F133" s="876"/>
      <c r="G133" s="876"/>
      <c r="H133" s="878"/>
      <c r="I133" s="876"/>
      <c r="J133" s="869"/>
      <c r="K133" s="869"/>
    </row>
    <row r="134" spans="1:11" ht="18.899999999999999" customHeight="1">
      <c r="A134" s="878"/>
      <c r="B134" s="996" t="str">
        <f>'Tab.G1.1-4'!$B$8</f>
        <v>LP</v>
      </c>
      <c r="C134" s="1003" t="str">
        <f>'Tab.G1.1-4'!$C$8</f>
        <v>Wyszczególnienie</v>
      </c>
      <c r="D134" s="999"/>
      <c r="E134" s="632" t="str">
        <f>'Tab.G1.1-4'!$E$8</f>
        <v>Wykonanie</v>
      </c>
      <c r="F134" s="876"/>
      <c r="G134" s="876"/>
      <c r="H134" s="878"/>
      <c r="I134" s="876"/>
      <c r="J134" s="869"/>
      <c r="K134" s="869"/>
    </row>
    <row r="135" spans="1:11" ht="18.899999999999999" customHeight="1">
      <c r="A135" s="878"/>
      <c r="B135" s="997"/>
      <c r="C135" s="1004"/>
      <c r="D135" s="1001"/>
      <c r="E135" s="633">
        <f>Rok_ZPR</f>
        <v>2020</v>
      </c>
      <c r="F135" s="876"/>
      <c r="G135" s="876"/>
      <c r="H135" s="878"/>
      <c r="I135" s="876"/>
      <c r="J135" s="869"/>
      <c r="K135" s="869"/>
    </row>
    <row r="136" spans="1:11" ht="14.1" customHeight="1" thickBot="1">
      <c r="A136" s="878"/>
      <c r="B136" s="649" t="str">
        <f t="array" ref="B136:B193">Tab.G17!$B$10:$B$67</f>
        <v>01</v>
      </c>
      <c r="C136" s="994" t="str">
        <f>Tab.G17!$B$11</f>
        <v>02</v>
      </c>
      <c r="D136" s="995"/>
      <c r="E136" s="650" t="str">
        <f>Tab.G17!$B$12</f>
        <v>03</v>
      </c>
      <c r="F136" s="876"/>
      <c r="G136" s="876"/>
      <c r="H136" s="878"/>
      <c r="I136" s="876"/>
      <c r="J136" s="869"/>
      <c r="K136" s="869"/>
    </row>
    <row r="137" spans="1:11" ht="18.899999999999999" customHeight="1" thickBot="1">
      <c r="A137" s="878"/>
      <c r="B137" s="646" t="str">
        <v>02</v>
      </c>
      <c r="C137" s="1" t="s">
        <v>116</v>
      </c>
      <c r="D137" s="2" t="str">
        <f>'Tab.G2.1-3'!$D$134</f>
        <v>[tys. zł/km]</v>
      </c>
      <c r="E137" s="149" t="str">
        <f t="array" ref="E137:E193">IFERROR($E$11:$E$67/$E$74:$E$130,"")</f>
        <v/>
      </c>
      <c r="F137" s="876"/>
      <c r="G137" s="876"/>
      <c r="H137" s="878"/>
      <c r="I137" s="876"/>
      <c r="J137" s="869"/>
      <c r="K137" s="869"/>
    </row>
    <row r="138" spans="1:11" ht="18.899999999999999" customHeight="1" thickBot="1">
      <c r="A138" s="878"/>
      <c r="B138" s="638" t="str">
        <v>03</v>
      </c>
      <c r="C138" s="3" t="s">
        <v>124</v>
      </c>
      <c r="D138" s="4" t="str">
        <f>'Tab.G2.1-3'!$D$134</f>
        <v>[tys. zł/km]</v>
      </c>
      <c r="E138" s="150" t="str">
        <v/>
      </c>
      <c r="F138" s="876"/>
      <c r="G138" s="876"/>
      <c r="H138" s="878"/>
      <c r="I138" s="876"/>
      <c r="J138" s="869"/>
      <c r="K138" s="869"/>
    </row>
    <row r="139" spans="1:11" ht="18.899999999999999" customHeight="1">
      <c r="A139" s="878"/>
      <c r="B139" s="639" t="str">
        <v>04</v>
      </c>
      <c r="C139" s="261" t="s">
        <v>75</v>
      </c>
      <c r="D139" s="5" t="str">
        <f>'Tab.G2.1-3'!$D$134</f>
        <v>[tys. zł/km]</v>
      </c>
      <c r="E139" s="151" t="str">
        <v/>
      </c>
      <c r="F139" s="876"/>
      <c r="G139" s="876"/>
      <c r="H139" s="878"/>
      <c r="I139" s="876"/>
      <c r="J139" s="869"/>
      <c r="K139" s="869"/>
    </row>
    <row r="140" spans="1:11" ht="18.899999999999999" customHeight="1">
      <c r="A140" s="878"/>
      <c r="B140" s="640" t="str">
        <v>05</v>
      </c>
      <c r="C140" s="263" t="s">
        <v>76</v>
      </c>
      <c r="D140" s="6" t="str">
        <f>'Tab.G2.1-3'!$D$134</f>
        <v>[tys. zł/km]</v>
      </c>
      <c r="E140" s="152" t="str">
        <v/>
      </c>
      <c r="F140" s="876"/>
      <c r="G140" s="876"/>
      <c r="H140" s="878"/>
      <c r="I140" s="876"/>
      <c r="J140" s="869"/>
      <c r="K140" s="869"/>
    </row>
    <row r="141" spans="1:11" ht="18.899999999999999" customHeight="1">
      <c r="A141" s="878"/>
      <c r="B141" s="641" t="str">
        <v>06</v>
      </c>
      <c r="C141" s="264" t="s">
        <v>77</v>
      </c>
      <c r="D141" s="7" t="str">
        <f>'Tab.G2.1-3'!$D$134</f>
        <v>[tys. zł/km]</v>
      </c>
      <c r="E141" s="153" t="str">
        <v/>
      </c>
      <c r="F141" s="876"/>
      <c r="G141" s="876"/>
      <c r="H141" s="878"/>
      <c r="I141" s="876"/>
      <c r="J141" s="869"/>
      <c r="K141" s="869"/>
    </row>
    <row r="142" spans="1:11" ht="18.899999999999999" customHeight="1">
      <c r="A142" s="878"/>
      <c r="B142" s="641" t="str">
        <v>07</v>
      </c>
      <c r="C142" s="264" t="s">
        <v>78</v>
      </c>
      <c r="D142" s="7" t="str">
        <f>'Tab.G2.1-3'!$D$134</f>
        <v>[tys. zł/km]</v>
      </c>
      <c r="E142" s="153" t="str">
        <v/>
      </c>
      <c r="F142" s="876"/>
      <c r="G142" s="876"/>
      <c r="H142" s="878"/>
      <c r="I142" s="876"/>
      <c r="J142" s="869"/>
      <c r="K142" s="869"/>
    </row>
    <row r="143" spans="1:11" ht="18.899999999999999" customHeight="1">
      <c r="A143" s="878"/>
      <c r="B143" s="642" t="str">
        <v>08</v>
      </c>
      <c r="C143" s="267" t="s">
        <v>79</v>
      </c>
      <c r="D143" s="8" t="str">
        <f>'Tab.G2.1-3'!$D$134</f>
        <v>[tys. zł/km]</v>
      </c>
      <c r="E143" s="154" t="str">
        <v/>
      </c>
      <c r="F143" s="876"/>
      <c r="G143" s="876"/>
      <c r="H143" s="878"/>
      <c r="I143" s="876"/>
      <c r="J143" s="869"/>
      <c r="K143" s="869"/>
    </row>
    <row r="144" spans="1:11" ht="18.899999999999999" customHeight="1">
      <c r="A144" s="878"/>
      <c r="B144" s="643" t="str">
        <v>09</v>
      </c>
      <c r="C144" s="262" t="s">
        <v>80</v>
      </c>
      <c r="D144" s="9" t="str">
        <f>'Tab.G2.1-3'!$D$134</f>
        <v>[tys. zł/km]</v>
      </c>
      <c r="E144" s="155" t="str">
        <v/>
      </c>
      <c r="F144" s="876"/>
      <c r="G144" s="876"/>
      <c r="H144" s="878"/>
      <c r="I144" s="876"/>
      <c r="J144" s="869"/>
      <c r="K144" s="869"/>
    </row>
    <row r="145" spans="1:11" ht="18.899999999999999" customHeight="1">
      <c r="A145" s="878"/>
      <c r="B145" s="640" t="str">
        <v>10</v>
      </c>
      <c r="C145" s="263" t="s">
        <v>76</v>
      </c>
      <c r="D145" s="6" t="str">
        <f>'Tab.G2.1-3'!$D$134</f>
        <v>[tys. zł/km]</v>
      </c>
      <c r="E145" s="152" t="str">
        <v/>
      </c>
      <c r="F145" s="876"/>
      <c r="G145" s="876"/>
      <c r="H145" s="878"/>
      <c r="I145" s="876"/>
      <c r="J145" s="869"/>
      <c r="K145" s="869"/>
    </row>
    <row r="146" spans="1:11" ht="18.899999999999999" customHeight="1">
      <c r="A146" s="878"/>
      <c r="B146" s="641" t="str">
        <v>11</v>
      </c>
      <c r="C146" s="264" t="s">
        <v>77</v>
      </c>
      <c r="D146" s="7" t="str">
        <f>'Tab.G2.1-3'!$D$134</f>
        <v>[tys. zł/km]</v>
      </c>
      <c r="E146" s="153" t="str">
        <v/>
      </c>
      <c r="F146" s="876"/>
      <c r="G146" s="876"/>
      <c r="H146" s="878"/>
      <c r="I146" s="876"/>
      <c r="J146" s="869"/>
      <c r="K146" s="869"/>
    </row>
    <row r="147" spans="1:11" ht="18.899999999999999" customHeight="1">
      <c r="A147" s="878"/>
      <c r="B147" s="641" t="str">
        <v>12</v>
      </c>
      <c r="C147" s="264" t="s">
        <v>78</v>
      </c>
      <c r="D147" s="7" t="str">
        <f>'Tab.G2.1-3'!$D$134</f>
        <v>[tys. zł/km]</v>
      </c>
      <c r="E147" s="153" t="str">
        <v/>
      </c>
      <c r="F147" s="876"/>
      <c r="G147" s="876"/>
      <c r="H147" s="878"/>
      <c r="I147" s="876"/>
      <c r="J147" s="869"/>
      <c r="K147" s="869"/>
    </row>
    <row r="148" spans="1:11" ht="18.899999999999999" customHeight="1" thickBot="1">
      <c r="A148" s="878"/>
      <c r="B148" s="644" t="str">
        <v>13</v>
      </c>
      <c r="C148" s="268" t="s">
        <v>79</v>
      </c>
      <c r="D148" s="10" t="str">
        <f>'Tab.G2.1-3'!$D$134</f>
        <v>[tys. zł/km]</v>
      </c>
      <c r="E148" s="156" t="str">
        <v/>
      </c>
      <c r="F148" s="876"/>
      <c r="G148" s="876"/>
      <c r="H148" s="878"/>
      <c r="I148" s="876"/>
      <c r="J148" s="869"/>
      <c r="K148" s="869"/>
    </row>
    <row r="149" spans="1:11" ht="18.899999999999999" customHeight="1" thickBot="1">
      <c r="A149" s="878"/>
      <c r="B149" s="638" t="str">
        <v>14</v>
      </c>
      <c r="C149" s="11" t="s">
        <v>125</v>
      </c>
      <c r="D149" s="4" t="str">
        <f>'Tab.G2.1-3'!$D$134</f>
        <v>[tys. zł/km]</v>
      </c>
      <c r="E149" s="150" t="str">
        <v/>
      </c>
      <c r="F149" s="876"/>
      <c r="G149" s="876"/>
      <c r="H149" s="878"/>
      <c r="I149" s="876"/>
      <c r="J149" s="869"/>
      <c r="K149" s="869"/>
    </row>
    <row r="150" spans="1:11" ht="18.899999999999999" customHeight="1">
      <c r="A150" s="878"/>
      <c r="B150" s="639" t="str">
        <v>15</v>
      </c>
      <c r="C150" s="261" t="s">
        <v>75</v>
      </c>
      <c r="D150" s="5" t="str">
        <f>'Tab.G2.1-3'!$D$134</f>
        <v>[tys. zł/km]</v>
      </c>
      <c r="E150" s="151" t="str">
        <v/>
      </c>
      <c r="F150" s="876"/>
      <c r="G150" s="876"/>
      <c r="H150" s="878"/>
      <c r="I150" s="876"/>
      <c r="J150" s="869"/>
      <c r="K150" s="869"/>
    </row>
    <row r="151" spans="1:11" ht="18.899999999999999" customHeight="1">
      <c r="A151" s="878"/>
      <c r="B151" s="640" t="str">
        <v>16</v>
      </c>
      <c r="C151" s="263" t="s">
        <v>81</v>
      </c>
      <c r="D151" s="6" t="str">
        <f>'Tab.G2.1-3'!$D$134</f>
        <v>[tys. zł/km]</v>
      </c>
      <c r="E151" s="152" t="str">
        <v/>
      </c>
      <c r="F151" s="876"/>
      <c r="G151" s="876"/>
      <c r="H151" s="878"/>
      <c r="I151" s="876"/>
      <c r="J151" s="869"/>
      <c r="K151" s="869"/>
    </row>
    <row r="152" spans="1:11" ht="18.899999999999999" customHeight="1">
      <c r="A152" s="878"/>
      <c r="B152" s="641" t="str">
        <v>17</v>
      </c>
      <c r="C152" s="264" t="s">
        <v>78</v>
      </c>
      <c r="D152" s="7" t="str">
        <f>'Tab.G2.1-3'!$D$134</f>
        <v>[tys. zł/km]</v>
      </c>
      <c r="E152" s="153" t="str">
        <v/>
      </c>
      <c r="F152" s="876"/>
      <c r="G152" s="876"/>
      <c r="H152" s="878"/>
      <c r="I152" s="876"/>
      <c r="J152" s="869"/>
      <c r="K152" s="869"/>
    </row>
    <row r="153" spans="1:11" ht="18.899999999999999" customHeight="1">
      <c r="A153" s="878"/>
      <c r="B153" s="641" t="str">
        <v>18</v>
      </c>
      <c r="C153" s="265" t="s">
        <v>82</v>
      </c>
      <c r="D153" s="7" t="str">
        <f>'Tab.G2.1-3'!$D$134</f>
        <v>[tys. zł/km]</v>
      </c>
      <c r="E153" s="153" t="str">
        <v/>
      </c>
      <c r="F153" s="876"/>
      <c r="G153" s="876"/>
      <c r="H153" s="878"/>
      <c r="I153" s="876"/>
      <c r="J153" s="869"/>
      <c r="K153" s="869"/>
    </row>
    <row r="154" spans="1:11" ht="18.899999999999999" customHeight="1">
      <c r="A154" s="878"/>
      <c r="B154" s="642" t="str">
        <v>19</v>
      </c>
      <c r="C154" s="267" t="s">
        <v>83</v>
      </c>
      <c r="D154" s="8" t="str">
        <f>'Tab.G2.1-3'!$D$134</f>
        <v>[tys. zł/km]</v>
      </c>
      <c r="E154" s="154" t="str">
        <v/>
      </c>
      <c r="F154" s="876"/>
      <c r="G154" s="876"/>
      <c r="H154" s="878"/>
      <c r="I154" s="876"/>
      <c r="J154" s="869"/>
      <c r="K154" s="869"/>
    </row>
    <row r="155" spans="1:11" ht="18.899999999999999" customHeight="1">
      <c r="A155" s="878"/>
      <c r="B155" s="643" t="str">
        <v>20</v>
      </c>
      <c r="C155" s="262" t="s">
        <v>80</v>
      </c>
      <c r="D155" s="9" t="str">
        <f>'Tab.G2.1-3'!$D$134</f>
        <v>[tys. zł/km]</v>
      </c>
      <c r="E155" s="155" t="str">
        <v/>
      </c>
      <c r="F155" s="876"/>
      <c r="G155" s="876"/>
      <c r="H155" s="878"/>
      <c r="I155" s="876"/>
      <c r="J155" s="869"/>
      <c r="K155" s="869"/>
    </row>
    <row r="156" spans="1:11" ht="18.899999999999999" customHeight="1">
      <c r="A156" s="878"/>
      <c r="B156" s="640" t="str">
        <v>21</v>
      </c>
      <c r="C156" s="263" t="s">
        <v>81</v>
      </c>
      <c r="D156" s="6" t="str">
        <f>'Tab.G2.1-3'!$D$134</f>
        <v>[tys. zł/km]</v>
      </c>
      <c r="E156" s="152" t="str">
        <v/>
      </c>
      <c r="F156" s="876"/>
      <c r="G156" s="876"/>
      <c r="H156" s="878"/>
      <c r="I156" s="876"/>
      <c r="J156" s="869"/>
      <c r="K156" s="869"/>
    </row>
    <row r="157" spans="1:11" ht="18.899999999999999" customHeight="1">
      <c r="A157" s="878"/>
      <c r="B157" s="641" t="str">
        <v>22</v>
      </c>
      <c r="C157" s="264" t="s">
        <v>78</v>
      </c>
      <c r="D157" s="7" t="str">
        <f>'Tab.G2.1-3'!$D$134</f>
        <v>[tys. zł/km]</v>
      </c>
      <c r="E157" s="153" t="str">
        <v/>
      </c>
      <c r="F157" s="876"/>
      <c r="G157" s="876"/>
      <c r="H157" s="878"/>
      <c r="I157" s="876"/>
      <c r="J157" s="869"/>
      <c r="K157" s="869"/>
    </row>
    <row r="158" spans="1:11" ht="18.899999999999999" customHeight="1">
      <c r="A158" s="878"/>
      <c r="B158" s="641" t="str">
        <v>23</v>
      </c>
      <c r="C158" s="265" t="s">
        <v>82</v>
      </c>
      <c r="D158" s="7" t="str">
        <f>'Tab.G2.1-3'!$D$134</f>
        <v>[tys. zł/km]</v>
      </c>
      <c r="E158" s="153" t="str">
        <v/>
      </c>
      <c r="F158" s="876"/>
      <c r="G158" s="876"/>
      <c r="H158" s="878"/>
      <c r="I158" s="876"/>
      <c r="J158" s="869"/>
      <c r="K158" s="869"/>
    </row>
    <row r="159" spans="1:11" ht="18.899999999999999" customHeight="1">
      <c r="A159" s="878"/>
      <c r="B159" s="645" t="str">
        <v>24</v>
      </c>
      <c r="C159" s="338" t="s">
        <v>83</v>
      </c>
      <c r="D159" s="270" t="str">
        <f>'Tab.G2.1-3'!$D$134</f>
        <v>[tys. zł/km]</v>
      </c>
      <c r="E159" s="271" t="str">
        <v/>
      </c>
      <c r="F159" s="876"/>
      <c r="G159" s="876"/>
      <c r="H159" s="878"/>
      <c r="I159" s="876"/>
      <c r="J159" s="869"/>
      <c r="K159" s="869"/>
    </row>
    <row r="160" spans="1:11" ht="18.899999999999999" customHeight="1">
      <c r="A160" s="878"/>
      <c r="B160" s="643" t="str">
        <v>25</v>
      </c>
      <c r="C160" s="262" t="s">
        <v>171</v>
      </c>
      <c r="D160" s="9" t="str">
        <f>'Tab.G2.1-3'!$D$134</f>
        <v>[tys. zł/km]</v>
      </c>
      <c r="E160" s="155" t="str">
        <v/>
      </c>
      <c r="F160" s="876"/>
      <c r="G160" s="876"/>
      <c r="H160" s="878"/>
      <c r="I160" s="876"/>
      <c r="J160" s="869"/>
      <c r="K160" s="869"/>
    </row>
    <row r="161" spans="1:11" ht="18.899999999999999" customHeight="1">
      <c r="A161" s="878"/>
      <c r="B161" s="640" t="str">
        <v>26</v>
      </c>
      <c r="C161" s="263" t="s">
        <v>81</v>
      </c>
      <c r="D161" s="6" t="str">
        <f>'Tab.G2.1-3'!$D$134</f>
        <v>[tys. zł/km]</v>
      </c>
      <c r="E161" s="152" t="str">
        <v/>
      </c>
      <c r="F161" s="876"/>
      <c r="G161" s="876"/>
      <c r="H161" s="878"/>
      <c r="I161" s="876"/>
      <c r="J161" s="869"/>
      <c r="K161" s="869"/>
    </row>
    <row r="162" spans="1:11" ht="18.899999999999999" customHeight="1">
      <c r="A162" s="878"/>
      <c r="B162" s="641" t="str">
        <v>27</v>
      </c>
      <c r="C162" s="264" t="s">
        <v>78</v>
      </c>
      <c r="D162" s="7" t="str">
        <f>'Tab.G2.1-3'!$D$134</f>
        <v>[tys. zł/km]</v>
      </c>
      <c r="E162" s="153" t="str">
        <v/>
      </c>
      <c r="F162" s="876"/>
      <c r="G162" s="876"/>
      <c r="H162" s="878"/>
      <c r="I162" s="876"/>
      <c r="J162" s="869"/>
      <c r="K162" s="869"/>
    </row>
    <row r="163" spans="1:11" ht="18.899999999999999" customHeight="1">
      <c r="A163" s="878"/>
      <c r="B163" s="641" t="str">
        <v>28</v>
      </c>
      <c r="C163" s="265" t="s">
        <v>82</v>
      </c>
      <c r="D163" s="7" t="str">
        <f>'Tab.G2.1-3'!$D$134</f>
        <v>[tys. zł/km]</v>
      </c>
      <c r="E163" s="153" t="str">
        <v/>
      </c>
      <c r="F163" s="876"/>
      <c r="G163" s="876"/>
      <c r="H163" s="878"/>
      <c r="I163" s="876"/>
      <c r="J163" s="869"/>
      <c r="K163" s="869"/>
    </row>
    <row r="164" spans="1:11" ht="18.899999999999999" customHeight="1" thickBot="1">
      <c r="A164" s="878"/>
      <c r="B164" s="642" t="str">
        <v>29</v>
      </c>
      <c r="C164" s="267" t="s">
        <v>83</v>
      </c>
      <c r="D164" s="8" t="str">
        <f>'Tab.G2.1-3'!$D$134</f>
        <v>[tys. zł/km]</v>
      </c>
      <c r="E164" s="154" t="str">
        <v/>
      </c>
      <c r="F164" s="876"/>
      <c r="G164" s="876"/>
      <c r="H164" s="878"/>
      <c r="I164" s="876"/>
      <c r="J164" s="869"/>
      <c r="K164" s="869"/>
    </row>
    <row r="165" spans="1:11" ht="18.899999999999999" customHeight="1" thickBot="1">
      <c r="A165" s="878"/>
      <c r="B165" s="638" t="str">
        <v>30</v>
      </c>
      <c r="C165" s="11" t="s">
        <v>172</v>
      </c>
      <c r="D165" s="4" t="str">
        <f>'Tab.G2.1-3'!$D$134</f>
        <v>[tys. zł/km]</v>
      </c>
      <c r="E165" s="150" t="str">
        <v/>
      </c>
      <c r="F165" s="876"/>
      <c r="G165" s="876"/>
      <c r="H165" s="878"/>
      <c r="I165" s="876"/>
      <c r="J165" s="869"/>
      <c r="K165" s="869"/>
    </row>
    <row r="166" spans="1:11" ht="18.899999999999999" customHeight="1" thickBot="1">
      <c r="A166" s="878"/>
      <c r="B166" s="646" t="str">
        <v>31</v>
      </c>
      <c r="C166" s="1" t="s">
        <v>117</v>
      </c>
      <c r="D166" s="2" t="str">
        <f>'Tab.G2.1-3'!$D$168</f>
        <v>[tys. zł/szt.]</v>
      </c>
      <c r="E166" s="149" t="str">
        <v/>
      </c>
      <c r="F166" s="876"/>
      <c r="G166" s="876"/>
      <c r="H166" s="878"/>
      <c r="I166" s="876"/>
      <c r="J166" s="869"/>
      <c r="K166" s="869"/>
    </row>
    <row r="167" spans="1:11" ht="18.899999999999999" customHeight="1">
      <c r="A167" s="878"/>
      <c r="B167" s="639" t="str">
        <v>32</v>
      </c>
      <c r="C167" s="12" t="s">
        <v>119</v>
      </c>
      <c r="D167" s="5" t="str">
        <f>'Tab.G2.1-3'!$D$168</f>
        <v>[tys. zł/szt.]</v>
      </c>
      <c r="E167" s="151" t="str">
        <v/>
      </c>
      <c r="F167" s="876"/>
      <c r="G167" s="876"/>
      <c r="H167" s="878"/>
      <c r="I167" s="876"/>
      <c r="J167" s="869"/>
      <c r="K167" s="869"/>
    </row>
    <row r="168" spans="1:11" ht="18.899999999999999" customHeight="1">
      <c r="A168" s="878"/>
      <c r="B168" s="640" t="str">
        <v>33</v>
      </c>
      <c r="C168" s="263" t="s">
        <v>88</v>
      </c>
      <c r="D168" s="6" t="str">
        <f>'Tab.G2.1-3'!$D$168</f>
        <v>[tys. zł/szt.]</v>
      </c>
      <c r="E168" s="152" t="str">
        <v/>
      </c>
      <c r="F168" s="876"/>
      <c r="G168" s="876"/>
      <c r="H168" s="878"/>
      <c r="I168" s="876"/>
      <c r="J168" s="869"/>
      <c r="K168" s="869"/>
    </row>
    <row r="169" spans="1:11" ht="18.899999999999999" customHeight="1">
      <c r="A169" s="878"/>
      <c r="B169" s="641" t="str">
        <v>34</v>
      </c>
      <c r="C169" s="264" t="s">
        <v>89</v>
      </c>
      <c r="D169" s="7" t="str">
        <f>'Tab.G2.1-3'!$D$168</f>
        <v>[tys. zł/szt.]</v>
      </c>
      <c r="E169" s="153" t="str">
        <v/>
      </c>
      <c r="F169" s="876"/>
      <c r="G169" s="876"/>
      <c r="H169" s="878"/>
      <c r="I169" s="876"/>
      <c r="J169" s="869"/>
      <c r="K169" s="869"/>
    </row>
    <row r="170" spans="1:11" ht="18.899999999999999" customHeight="1">
      <c r="A170" s="878"/>
      <c r="B170" s="642" t="str">
        <v>35</v>
      </c>
      <c r="C170" s="272" t="s">
        <v>90</v>
      </c>
      <c r="D170" s="8" t="str">
        <f>'Tab.G2.1-3'!$D$168</f>
        <v>[tys. zł/szt.]</v>
      </c>
      <c r="E170" s="154" t="str">
        <v/>
      </c>
      <c r="F170" s="876"/>
      <c r="G170" s="876"/>
      <c r="H170" s="878"/>
      <c r="I170" s="876"/>
      <c r="J170" s="869"/>
      <c r="K170" s="869"/>
    </row>
    <row r="171" spans="1:11" ht="18.899999999999999" customHeight="1">
      <c r="A171" s="878"/>
      <c r="B171" s="643" t="str">
        <v>36</v>
      </c>
      <c r="C171" s="13" t="s">
        <v>120</v>
      </c>
      <c r="D171" s="9" t="str">
        <f>'Tab.G2.1-3'!$D$168</f>
        <v>[tys. zł/szt.]</v>
      </c>
      <c r="E171" s="155" t="str">
        <v/>
      </c>
      <c r="F171" s="876"/>
      <c r="G171" s="876"/>
      <c r="H171" s="878"/>
      <c r="I171" s="876"/>
      <c r="J171" s="869"/>
      <c r="K171" s="869"/>
    </row>
    <row r="172" spans="1:11" ht="18.899999999999999" customHeight="1">
      <c r="A172" s="878"/>
      <c r="B172" s="640" t="str">
        <v>37</v>
      </c>
      <c r="C172" s="263" t="s">
        <v>91</v>
      </c>
      <c r="D172" s="6" t="str">
        <f>'Tab.G2.1-3'!$D$168</f>
        <v>[tys. zł/szt.]</v>
      </c>
      <c r="E172" s="152" t="str">
        <v/>
      </c>
      <c r="F172" s="876"/>
      <c r="G172" s="876"/>
      <c r="H172" s="878"/>
      <c r="I172" s="876"/>
      <c r="J172" s="869"/>
      <c r="K172" s="869"/>
    </row>
    <row r="173" spans="1:11" ht="18.899999999999999" customHeight="1">
      <c r="A173" s="878"/>
      <c r="B173" s="641" t="str">
        <v>38</v>
      </c>
      <c r="C173" s="265" t="s">
        <v>92</v>
      </c>
      <c r="D173" s="7" t="str">
        <f>'Tab.G2.1-3'!$D$168</f>
        <v>[tys. zł/szt.]</v>
      </c>
      <c r="E173" s="153" t="str">
        <v/>
      </c>
      <c r="F173" s="876"/>
      <c r="G173" s="876"/>
      <c r="H173" s="878"/>
      <c r="I173" s="876"/>
      <c r="J173" s="869"/>
      <c r="K173" s="869"/>
    </row>
    <row r="174" spans="1:11" ht="18.899999999999999" customHeight="1">
      <c r="A174" s="878"/>
      <c r="B174" s="642" t="str">
        <v>39</v>
      </c>
      <c r="C174" s="272" t="s">
        <v>93</v>
      </c>
      <c r="D174" s="8" t="str">
        <f>'Tab.G2.1-3'!$D$168</f>
        <v>[tys. zł/szt.]</v>
      </c>
      <c r="E174" s="154" t="str">
        <v/>
      </c>
      <c r="F174" s="876"/>
      <c r="G174" s="876"/>
      <c r="H174" s="878"/>
      <c r="I174" s="876"/>
      <c r="J174" s="869"/>
      <c r="K174" s="869"/>
    </row>
    <row r="175" spans="1:11" ht="18.899999999999999" customHeight="1">
      <c r="A175" s="878"/>
      <c r="B175" s="643" t="str">
        <v>40</v>
      </c>
      <c r="C175" s="13" t="s">
        <v>121</v>
      </c>
      <c r="D175" s="9" t="str">
        <f>'Tab.G2.1-3'!$D$168</f>
        <v>[tys. zł/szt.]</v>
      </c>
      <c r="E175" s="155" t="str">
        <v/>
      </c>
      <c r="F175" s="876"/>
      <c r="G175" s="876"/>
      <c r="H175" s="878"/>
      <c r="I175" s="876"/>
      <c r="J175" s="869"/>
      <c r="K175" s="869"/>
    </row>
    <row r="176" spans="1:11" ht="18.899999999999999" customHeight="1">
      <c r="A176" s="878"/>
      <c r="B176" s="640" t="str">
        <v>41</v>
      </c>
      <c r="C176" s="263" t="s">
        <v>91</v>
      </c>
      <c r="D176" s="6" t="str">
        <f>'Tab.G2.1-3'!$D$168</f>
        <v>[tys. zł/szt.]</v>
      </c>
      <c r="E176" s="152" t="str">
        <v/>
      </c>
      <c r="F176" s="876"/>
      <c r="G176" s="876"/>
      <c r="H176" s="878"/>
      <c r="I176" s="876"/>
      <c r="J176" s="869"/>
      <c r="K176" s="869"/>
    </row>
    <row r="177" spans="1:11" ht="18.899999999999999" customHeight="1">
      <c r="A177" s="878"/>
      <c r="B177" s="641" t="str">
        <v>42</v>
      </c>
      <c r="C177" s="265" t="s">
        <v>92</v>
      </c>
      <c r="D177" s="7" t="str">
        <f>'Tab.G2.1-3'!$D$168</f>
        <v>[tys. zł/szt.]</v>
      </c>
      <c r="E177" s="153" t="str">
        <v/>
      </c>
      <c r="F177" s="876"/>
      <c r="G177" s="876"/>
      <c r="H177" s="878"/>
      <c r="I177" s="876"/>
      <c r="J177" s="869"/>
      <c r="K177" s="869"/>
    </row>
    <row r="178" spans="1:11" ht="18.899999999999999" customHeight="1">
      <c r="A178" s="878"/>
      <c r="B178" s="642" t="str">
        <v>43</v>
      </c>
      <c r="C178" s="272" t="s">
        <v>93</v>
      </c>
      <c r="D178" s="8" t="str">
        <f>'Tab.G2.1-3'!$D$168</f>
        <v>[tys. zł/szt.]</v>
      </c>
      <c r="E178" s="154" t="str">
        <v/>
      </c>
      <c r="F178" s="876"/>
      <c r="G178" s="876"/>
      <c r="H178" s="878"/>
      <c r="I178" s="876"/>
      <c r="J178" s="869"/>
      <c r="K178" s="869"/>
    </row>
    <row r="179" spans="1:11" ht="18.899999999999999" customHeight="1">
      <c r="A179" s="878"/>
      <c r="B179" s="647" t="str">
        <v>44</v>
      </c>
      <c r="C179" s="14" t="s">
        <v>122</v>
      </c>
      <c r="D179" s="15" t="str">
        <f>'Tab.G2.1-3'!$D$168</f>
        <v>[tys. zł/szt.]</v>
      </c>
      <c r="E179" s="155" t="str">
        <v/>
      </c>
      <c r="F179" s="876"/>
      <c r="G179" s="876"/>
      <c r="H179" s="878"/>
      <c r="I179" s="876"/>
      <c r="J179" s="869"/>
      <c r="K179" s="869"/>
    </row>
    <row r="180" spans="1:11" ht="18.899999999999999" customHeight="1" thickBot="1">
      <c r="A180" s="878"/>
      <c r="B180" s="648" t="str">
        <v>45</v>
      </c>
      <c r="C180" s="16" t="s">
        <v>123</v>
      </c>
      <c r="D180" s="17" t="str">
        <f>'Tab.G2.1-3'!$D$168</f>
        <v>[tys. zł/szt.]</v>
      </c>
      <c r="E180" s="157" t="str">
        <v/>
      </c>
      <c r="F180" s="876"/>
      <c r="G180" s="876"/>
      <c r="H180" s="878"/>
      <c r="I180" s="876"/>
      <c r="J180" s="869"/>
      <c r="K180" s="869"/>
    </row>
    <row r="181" spans="1:11" ht="18.899999999999999" customHeight="1" thickBot="1">
      <c r="A181" s="878"/>
      <c r="B181" s="646" t="str">
        <v>46</v>
      </c>
      <c r="C181" s="1" t="s">
        <v>130</v>
      </c>
      <c r="D181" s="2" t="str">
        <f>'Tab.G2.1-3'!$D$168</f>
        <v>[tys. zł/szt.]</v>
      </c>
      <c r="E181" s="149" t="str">
        <v/>
      </c>
      <c r="F181" s="876"/>
      <c r="G181" s="876"/>
      <c r="H181" s="878"/>
      <c r="I181" s="876"/>
      <c r="J181" s="869"/>
      <c r="K181" s="869"/>
    </row>
    <row r="182" spans="1:11" ht="18.899999999999999" customHeight="1">
      <c r="A182" s="878"/>
      <c r="B182" s="639" t="str">
        <v>47</v>
      </c>
      <c r="C182" s="12" t="s">
        <v>131</v>
      </c>
      <c r="D182" s="5" t="str">
        <f>'Tab.G2.1-3'!$D$168</f>
        <v>[tys. zł/szt.]</v>
      </c>
      <c r="E182" s="151" t="str">
        <v/>
      </c>
      <c r="F182" s="876"/>
      <c r="G182" s="876"/>
      <c r="H182" s="878"/>
      <c r="I182" s="876"/>
      <c r="J182" s="869"/>
      <c r="K182" s="869"/>
    </row>
    <row r="183" spans="1:11" ht="18.899999999999999" customHeight="1">
      <c r="A183" s="878"/>
      <c r="B183" s="640" t="str">
        <v>48</v>
      </c>
      <c r="C183" s="266" t="s">
        <v>132</v>
      </c>
      <c r="D183" s="6" t="str">
        <f>'Tab.G2.1-3'!$D$168</f>
        <v>[tys. zł/szt.]</v>
      </c>
      <c r="E183" s="152" t="str">
        <v/>
      </c>
      <c r="F183" s="876"/>
      <c r="G183" s="876"/>
      <c r="H183" s="878"/>
      <c r="I183" s="876"/>
      <c r="J183" s="869"/>
      <c r="K183" s="869"/>
    </row>
    <row r="184" spans="1:11" ht="18.899999999999999" customHeight="1">
      <c r="A184" s="878"/>
      <c r="B184" s="641" t="str">
        <v>49</v>
      </c>
      <c r="C184" s="265" t="s">
        <v>173</v>
      </c>
      <c r="D184" s="7" t="str">
        <f>'Tab.G2.1-3'!$D$168</f>
        <v>[tys. zł/szt.]</v>
      </c>
      <c r="E184" s="153" t="str">
        <v/>
      </c>
      <c r="F184" s="876"/>
      <c r="G184" s="876"/>
      <c r="H184" s="878"/>
      <c r="I184" s="876"/>
      <c r="J184" s="869"/>
      <c r="K184" s="869"/>
    </row>
    <row r="185" spans="1:11" ht="18.899999999999999" customHeight="1">
      <c r="A185" s="878"/>
      <c r="B185" s="641" t="str">
        <v>50</v>
      </c>
      <c r="C185" s="265" t="s">
        <v>133</v>
      </c>
      <c r="D185" s="7" t="str">
        <f>'Tab.G2.1-3'!$D$168</f>
        <v>[tys. zł/szt.]</v>
      </c>
      <c r="E185" s="153" t="str">
        <v/>
      </c>
      <c r="F185" s="876"/>
      <c r="G185" s="876"/>
      <c r="H185" s="878"/>
      <c r="I185" s="876"/>
      <c r="J185" s="869"/>
      <c r="K185" s="869"/>
    </row>
    <row r="186" spans="1:11" ht="18.899999999999999" customHeight="1">
      <c r="A186" s="878"/>
      <c r="B186" s="642" t="str">
        <v>51</v>
      </c>
      <c r="C186" s="339" t="s">
        <v>174</v>
      </c>
      <c r="D186" s="8" t="str">
        <f>'Tab.G2.1-3'!$D$168</f>
        <v>[tys. zł/szt.]</v>
      </c>
      <c r="E186" s="154" t="str">
        <v/>
      </c>
      <c r="F186" s="876"/>
      <c r="G186" s="876"/>
      <c r="H186" s="878"/>
      <c r="I186" s="876"/>
      <c r="J186" s="869"/>
      <c r="K186" s="869"/>
    </row>
    <row r="187" spans="1:11" ht="18.899999999999999" customHeight="1">
      <c r="A187" s="878"/>
      <c r="B187" s="643" t="str">
        <v>52</v>
      </c>
      <c r="C187" s="13" t="s">
        <v>134</v>
      </c>
      <c r="D187" s="9" t="str">
        <f>'Tab.G2.1-3'!$D$168</f>
        <v>[tys. zł/szt.]</v>
      </c>
      <c r="E187" s="155" t="str">
        <v/>
      </c>
      <c r="F187" s="876"/>
      <c r="G187" s="876"/>
      <c r="H187" s="878"/>
      <c r="I187" s="876"/>
      <c r="J187" s="869"/>
      <c r="K187" s="869"/>
    </row>
    <row r="188" spans="1:11" ht="18.899999999999999" customHeight="1">
      <c r="A188" s="878"/>
      <c r="B188" s="640" t="str">
        <v>53</v>
      </c>
      <c r="C188" s="266" t="s">
        <v>35</v>
      </c>
      <c r="D188" s="6" t="str">
        <f>'Tab.G2.1-3'!$D$168</f>
        <v>[tys. zł/szt.]</v>
      </c>
      <c r="E188" s="152" t="str">
        <v/>
      </c>
      <c r="F188" s="876"/>
      <c r="G188" s="876"/>
      <c r="H188" s="878"/>
      <c r="I188" s="876"/>
      <c r="J188" s="869"/>
      <c r="K188" s="869"/>
    </row>
    <row r="189" spans="1:11" ht="18.899999999999999" customHeight="1">
      <c r="A189" s="878"/>
      <c r="B189" s="645" t="str">
        <v>54</v>
      </c>
      <c r="C189" s="269" t="s">
        <v>33</v>
      </c>
      <c r="D189" s="270" t="str">
        <f>'Tab.G2.1-3'!$D$168</f>
        <v>[tys. zł/szt.]</v>
      </c>
      <c r="E189" s="271" t="str">
        <v/>
      </c>
      <c r="F189" s="876"/>
      <c r="G189" s="876"/>
      <c r="H189" s="878"/>
      <c r="I189" s="876"/>
      <c r="J189" s="869"/>
      <c r="K189" s="869"/>
    </row>
    <row r="190" spans="1:11" ht="18.899999999999999" customHeight="1">
      <c r="A190" s="878"/>
      <c r="B190" s="643" t="str">
        <v>55</v>
      </c>
      <c r="C190" s="13" t="s">
        <v>135</v>
      </c>
      <c r="D190" s="9" t="str">
        <f>'Tab.G2.1-3'!$D$168</f>
        <v>[tys. zł/szt.]</v>
      </c>
      <c r="E190" s="155" t="str">
        <v/>
      </c>
      <c r="F190" s="876"/>
      <c r="G190" s="876"/>
      <c r="H190" s="878"/>
      <c r="I190" s="876"/>
      <c r="J190" s="869"/>
      <c r="K190" s="869"/>
    </row>
    <row r="191" spans="1:11" ht="18.899999999999999" customHeight="1">
      <c r="A191" s="878"/>
      <c r="B191" s="640" t="str">
        <v>56</v>
      </c>
      <c r="C191" s="266" t="s">
        <v>35</v>
      </c>
      <c r="D191" s="6" t="str">
        <f>'Tab.G2.1-3'!$D$168</f>
        <v>[tys. zł/szt.]</v>
      </c>
      <c r="E191" s="152" t="str">
        <v/>
      </c>
      <c r="F191" s="876"/>
      <c r="G191" s="876"/>
      <c r="H191" s="878"/>
      <c r="I191" s="876"/>
      <c r="J191" s="869"/>
      <c r="K191" s="869"/>
    </row>
    <row r="192" spans="1:11" ht="18.899999999999999" customHeight="1">
      <c r="A192" s="878"/>
      <c r="B192" s="645" t="str">
        <v>57</v>
      </c>
      <c r="C192" s="269" t="s">
        <v>33</v>
      </c>
      <c r="D192" s="270" t="str">
        <f>'Tab.G2.1-3'!$D$168</f>
        <v>[tys. zł/szt.]</v>
      </c>
      <c r="E192" s="271" t="str">
        <v/>
      </c>
      <c r="F192" s="876"/>
      <c r="G192" s="876"/>
      <c r="H192" s="878"/>
      <c r="I192" s="876"/>
      <c r="J192" s="869"/>
      <c r="K192" s="869"/>
    </row>
    <row r="193" spans="1:11" ht="18.899999999999999" customHeight="1" thickBot="1">
      <c r="A193" s="878"/>
      <c r="B193" s="648" t="str">
        <v>58</v>
      </c>
      <c r="C193" s="16" t="s">
        <v>136</v>
      </c>
      <c r="D193" s="17" t="str">
        <f>'Tab.G2.1-3'!$D$168</f>
        <v>[tys. zł/szt.]</v>
      </c>
      <c r="E193" s="157" t="str">
        <v/>
      </c>
      <c r="F193" s="876"/>
      <c r="G193" s="876"/>
      <c r="H193" s="878"/>
      <c r="I193" s="876"/>
      <c r="J193" s="869"/>
      <c r="K193" s="869"/>
    </row>
    <row r="194" spans="1:11">
      <c r="A194" s="878"/>
      <c r="B194" s="878"/>
      <c r="C194" s="877"/>
      <c r="D194" s="887"/>
      <c r="E194" s="876"/>
      <c r="F194" s="876"/>
      <c r="G194" s="876"/>
      <c r="H194" s="878"/>
      <c r="I194" s="876"/>
      <c r="J194" s="869"/>
      <c r="K194" s="869"/>
    </row>
    <row r="195" spans="1:11">
      <c r="A195" s="878"/>
      <c r="B195" s="878"/>
      <c r="C195" s="877"/>
      <c r="D195" s="887"/>
      <c r="E195" s="876"/>
      <c r="F195" s="876"/>
      <c r="G195" s="876"/>
      <c r="H195" s="878"/>
      <c r="I195" s="876"/>
      <c r="J195" s="869"/>
      <c r="K195" s="869"/>
    </row>
    <row r="196" spans="1:11">
      <c r="A196" s="878"/>
      <c r="B196" s="878"/>
      <c r="C196" s="877"/>
      <c r="D196" s="887"/>
      <c r="E196" s="876"/>
      <c r="F196" s="876"/>
      <c r="G196" s="876"/>
      <c r="H196" s="878"/>
      <c r="I196" s="876"/>
      <c r="J196" s="869"/>
      <c r="K196" s="869"/>
    </row>
    <row r="197" spans="1:11">
      <c r="A197" s="142"/>
      <c r="B197" s="142"/>
      <c r="C197" s="141"/>
      <c r="D197" s="143"/>
      <c r="E197" s="87"/>
      <c r="F197" s="87"/>
      <c r="G197" s="87"/>
      <c r="H197" s="142"/>
      <c r="I197" s="87"/>
    </row>
    <row r="198" spans="1:11">
      <c r="A198" s="142"/>
      <c r="B198" s="142"/>
      <c r="C198" s="141"/>
      <c r="D198" s="143"/>
      <c r="E198" s="87"/>
      <c r="F198" s="87"/>
      <c r="G198" s="87"/>
      <c r="H198" s="142"/>
      <c r="I198" s="87"/>
    </row>
    <row r="199" spans="1:11">
      <c r="A199" s="142"/>
      <c r="B199" s="142"/>
      <c r="C199" s="141"/>
      <c r="D199" s="143"/>
      <c r="E199" s="87"/>
      <c r="F199" s="87"/>
      <c r="G199" s="87"/>
      <c r="H199" s="142"/>
      <c r="I199" s="87"/>
    </row>
    <row r="200" spans="1:11">
      <c r="A200" s="142"/>
      <c r="B200" s="142"/>
      <c r="C200" s="141"/>
      <c r="D200" s="143"/>
      <c r="E200" s="87"/>
      <c r="F200" s="87"/>
      <c r="G200" s="87"/>
      <c r="H200" s="142"/>
      <c r="I200" s="87"/>
    </row>
    <row r="201" spans="1:11">
      <c r="A201" s="142"/>
      <c r="B201" s="142"/>
      <c r="C201" s="141"/>
      <c r="D201" s="143"/>
      <c r="E201" s="87"/>
      <c r="F201" s="87"/>
      <c r="G201" s="87"/>
      <c r="H201" s="142"/>
      <c r="I201" s="87"/>
    </row>
    <row r="202" spans="1:11">
      <c r="A202" s="142"/>
      <c r="B202" s="142"/>
      <c r="C202" s="141"/>
      <c r="D202" s="143"/>
      <c r="E202" s="87"/>
      <c r="F202" s="87"/>
      <c r="G202" s="87"/>
      <c r="H202" s="142"/>
      <c r="I202" s="87"/>
    </row>
    <row r="203" spans="1:11">
      <c r="A203" s="142"/>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c r="A1765" s="142"/>
      <c r="B1765" s="142"/>
      <c r="C1765" s="141"/>
      <c r="D1765" s="143"/>
      <c r="E1765" s="87"/>
      <c r="F1765" s="87"/>
      <c r="G1765" s="87"/>
      <c r="H1765" s="142"/>
      <c r="I1765" s="87"/>
    </row>
    <row r="1766" spans="1:9" ht="15">
      <c r="A1766" s="142"/>
      <c r="B1766" s="142"/>
      <c r="C1766" s="140"/>
      <c r="D1766" s="143"/>
      <c r="E1766" s="87"/>
      <c r="F1766" s="87"/>
      <c r="G1766" s="87"/>
      <c r="H1766" s="142"/>
      <c r="I1766" s="87"/>
    </row>
    <row r="1767" spans="1:9" ht="15">
      <c r="A1767" s="142"/>
      <c r="B1767" s="142"/>
      <c r="C1767" s="140"/>
      <c r="D1767" s="143"/>
      <c r="E1767" s="87"/>
      <c r="F1767" s="87"/>
      <c r="G1767" s="87"/>
      <c r="H1767" s="142"/>
      <c r="I1767" s="87"/>
    </row>
    <row r="1768" spans="1:9" ht="15">
      <c r="A1768" s="142"/>
      <c r="B1768" s="31"/>
      <c r="C1768" s="140"/>
      <c r="D1768" s="143"/>
      <c r="E1768" s="87"/>
      <c r="F1768" s="87"/>
      <c r="G1768" s="87"/>
      <c r="H1768" s="142"/>
      <c r="I1768" s="87"/>
    </row>
    <row r="1769" spans="1:9" ht="15">
      <c r="A1769" s="142"/>
      <c r="B1769" s="31"/>
      <c r="C1769" s="140"/>
      <c r="D1769" s="143"/>
      <c r="E1769" s="87"/>
      <c r="F1769" s="87"/>
      <c r="G1769" s="87"/>
      <c r="H1769" s="142"/>
      <c r="I1769" s="87"/>
    </row>
    <row r="1770" spans="1:9" ht="15">
      <c r="A1770" s="142"/>
      <c r="B1770" s="31"/>
      <c r="C1770" s="140"/>
      <c r="D1770" s="143"/>
      <c r="E1770" s="87"/>
      <c r="F1770" s="87"/>
      <c r="G1770" s="87"/>
      <c r="H1770" s="142"/>
      <c r="I1770" s="87"/>
    </row>
    <row r="1771" spans="1:9" ht="15">
      <c r="A1771" s="142"/>
      <c r="B1771" s="31"/>
      <c r="C1771" s="140"/>
      <c r="D1771" s="143"/>
      <c r="E1771" s="87"/>
      <c r="F1771" s="87"/>
      <c r="G1771" s="87"/>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c r="A1782" s="142"/>
      <c r="H1782" s="142"/>
      <c r="I1782" s="87"/>
    </row>
    <row r="1783" spans="1:9" ht="15">
      <c r="A1783" s="31"/>
      <c r="H1783" s="31"/>
      <c r="I1783" s="87"/>
    </row>
    <row r="1784" spans="1:9" ht="15">
      <c r="A1784" s="31"/>
      <c r="H1784" s="31"/>
      <c r="I1784" s="87"/>
    </row>
    <row r="1785" spans="1:9" ht="15">
      <c r="A1785" s="31"/>
      <c r="H1785" s="31"/>
      <c r="I1785" s="87"/>
    </row>
    <row r="1786" spans="1:9" ht="15">
      <c r="A1786" s="31"/>
      <c r="H1786" s="31"/>
      <c r="I1786" s="87"/>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xr:uid="{00000000-0004-0000-09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59">
    <pageSetUpPr fitToPage="1"/>
  </sheetPr>
  <dimension ref="A1:K618"/>
  <sheetViews>
    <sheetView zoomScale="90" zoomScaleNormal="90" workbookViewId="0">
      <pane ySplit="7" topLeftCell="A8" activePane="bottomLeft" state="frozen"/>
      <selection pane="bottomLeft" activeCell="B8" sqref="B8"/>
    </sheetView>
  </sheetViews>
  <sheetFormatPr defaultColWidth="8.90625" defaultRowHeight="13.2" outlineLevelRow="1"/>
  <cols>
    <col min="1" max="1" width="3.81640625" style="129" customWidth="1"/>
    <col min="2" max="2" width="4.81640625" style="129" customWidth="1"/>
    <col min="3" max="3" width="40.81640625" style="129" customWidth="1"/>
    <col min="4" max="4" width="20.81640625" style="129" customWidth="1"/>
    <col min="5" max="5" width="44.81640625" style="129" customWidth="1"/>
    <col min="6" max="6" width="40.81640625" style="129" customWidth="1"/>
    <col min="7" max="7" width="36.81640625" style="129" customWidth="1"/>
    <col min="8" max="8" width="35.81640625" style="129" customWidth="1"/>
    <col min="9" max="9" width="15.81640625" style="129" customWidth="1"/>
    <col min="10" max="10" width="35.81640625" style="129" customWidth="1"/>
    <col min="11" max="26" width="10.81640625" style="129" customWidth="1"/>
    <col min="27" max="16384" width="8.90625" style="129"/>
  </cols>
  <sheetData>
    <row r="1" spans="1:11" s="86" customFormat="1" ht="15">
      <c r="A1" s="894"/>
      <c r="B1" s="894"/>
      <c r="C1" s="947" t="s">
        <v>10</v>
      </c>
      <c r="D1" s="894"/>
      <c r="E1" s="894"/>
      <c r="F1" s="894"/>
      <c r="G1" s="894"/>
      <c r="H1" s="894"/>
      <c r="I1" s="894"/>
      <c r="J1" s="894"/>
      <c r="K1" s="894"/>
    </row>
    <row r="2" spans="1:11" s="86" customFormat="1" ht="9.9" customHeight="1">
      <c r="A2" s="894"/>
      <c r="B2" s="895"/>
      <c r="C2" s="1059"/>
      <c r="D2" s="1060"/>
      <c r="E2" s="1060"/>
      <c r="F2" s="1060"/>
      <c r="G2" s="1060"/>
      <c r="H2" s="894"/>
      <c r="I2" s="894"/>
      <c r="J2" s="894"/>
      <c r="K2" s="894"/>
    </row>
    <row r="3" spans="1:11" s="86" customFormat="1" ht="15" customHeight="1">
      <c r="A3" s="894"/>
      <c r="B3" s="913" t="s">
        <v>14</v>
      </c>
      <c r="C3" s="1044" t="s">
        <v>36</v>
      </c>
      <c r="D3" s="1045"/>
      <c r="E3" s="1045"/>
      <c r="F3" s="1045"/>
      <c r="G3" s="1045"/>
      <c r="H3" s="1046"/>
      <c r="I3" s="894"/>
      <c r="J3" s="894"/>
      <c r="K3" s="894"/>
    </row>
    <row r="4" spans="1:11" s="86" customFormat="1" ht="15" customHeight="1">
      <c r="A4" s="894"/>
      <c r="B4" s="913" t="s">
        <v>29</v>
      </c>
      <c r="C4" s="1044" t="s">
        <v>182</v>
      </c>
      <c r="D4" s="1047"/>
      <c r="E4" s="1047"/>
      <c r="F4" s="1047"/>
      <c r="G4" s="1047"/>
      <c r="H4" s="1046"/>
      <c r="I4" s="894"/>
      <c r="J4" s="894"/>
      <c r="K4" s="894"/>
    </row>
    <row r="5" spans="1:11" s="81" customFormat="1" ht="15" customHeight="1">
      <c r="A5" s="896"/>
      <c r="B5" s="913" t="s">
        <v>30</v>
      </c>
      <c r="C5" s="1044" t="s">
        <v>106</v>
      </c>
      <c r="D5" s="1044"/>
      <c r="E5" s="1044"/>
      <c r="F5" s="1044"/>
      <c r="G5" s="1044"/>
      <c r="H5" s="1035"/>
      <c r="I5" s="896"/>
      <c r="J5" s="896"/>
      <c r="K5" s="896"/>
    </row>
    <row r="6" spans="1:11" s="81" customFormat="1" ht="15" customHeight="1">
      <c r="A6" s="896"/>
      <c r="B6" s="913" t="s">
        <v>37</v>
      </c>
      <c r="C6" s="1044" t="s">
        <v>105</v>
      </c>
      <c r="D6" s="1044"/>
      <c r="E6" s="1044"/>
      <c r="F6" s="1044"/>
      <c r="G6" s="1044"/>
      <c r="H6" s="1035"/>
      <c r="I6" s="896"/>
      <c r="J6" s="896"/>
      <c r="K6" s="896"/>
    </row>
    <row r="7" spans="1:11" s="81" customFormat="1" ht="50.1" customHeight="1">
      <c r="A7" s="896"/>
      <c r="B7" s="913" t="s">
        <v>41</v>
      </c>
      <c r="C7" s="1044" t="s">
        <v>180</v>
      </c>
      <c r="D7" s="1048"/>
      <c r="E7" s="1048"/>
      <c r="F7" s="1048"/>
      <c r="G7" s="1048"/>
      <c r="H7" s="1035"/>
      <c r="I7" s="896"/>
      <c r="J7" s="896"/>
      <c r="K7" s="896"/>
    </row>
    <row r="8" spans="1:11" s="86" customFormat="1" ht="30" customHeight="1" thickBot="1">
      <c r="A8" s="894"/>
      <c r="B8" s="897" t="s">
        <v>177</v>
      </c>
      <c r="C8" s="894"/>
      <c r="D8" s="894"/>
      <c r="E8" s="894"/>
      <c r="F8" s="894"/>
      <c r="G8" s="894"/>
      <c r="H8" s="894"/>
      <c r="I8" s="898"/>
      <c r="J8" s="898"/>
      <c r="K8" s="894"/>
    </row>
    <row r="9" spans="1:11" s="115" customFormat="1" ht="20.100000000000001" customHeight="1" thickBot="1">
      <c r="A9" s="899"/>
      <c r="B9" s="1070" t="str">
        <f>'Tab.G1.1-4'!$B$8</f>
        <v>LP</v>
      </c>
      <c r="C9" s="1079" t="str">
        <f>"Nazwa projektu inwestycyjnego"</f>
        <v>Nazwa projektu inwestycyjnego</v>
      </c>
      <c r="D9" s="1079" t="str">
        <f>"Lokalizacja projektu inwestycyjnego"</f>
        <v>Lokalizacja projektu inwestycyjnego</v>
      </c>
      <c r="E9" s="1079" t="str">
        <f>"Cel realizacji projektu"</f>
        <v>Cel realizacji projektu</v>
      </c>
      <c r="F9" s="1077" t="str">
        <f>"Spodziewane efekty, wynikające z realizacji projektu"</f>
        <v>Spodziewane efekty, wynikające z realizacji projektu</v>
      </c>
      <c r="G9" s="1078" t="str">
        <f>"Wartość dla poszczególnych spodziewanych efektów"</f>
        <v>Wartość dla poszczególnych spodziewanych efektów</v>
      </c>
      <c r="H9" s="1079" t="str">
        <f>"Zakres prac"</f>
        <v>Zakres prac</v>
      </c>
      <c r="I9" s="632" t="str">
        <f>'Tab.G1.1-4'!$E$8</f>
        <v>Wykonanie</v>
      </c>
      <c r="J9" s="1075" t="str">
        <f>"UWAGI"</f>
        <v>UWAGI</v>
      </c>
      <c r="K9" s="894"/>
    </row>
    <row r="10" spans="1:11" s="115" customFormat="1" ht="20.100000000000001" customHeight="1" thickBot="1">
      <c r="A10" s="899"/>
      <c r="B10" s="1071"/>
      <c r="C10" s="1071"/>
      <c r="D10" s="1071"/>
      <c r="E10" s="1071"/>
      <c r="F10" s="1077"/>
      <c r="G10" s="1080"/>
      <c r="H10" s="1071"/>
      <c r="I10" s="633">
        <f>Rok_ZPR</f>
        <v>2020</v>
      </c>
      <c r="J10" s="1076"/>
      <c r="K10" s="894"/>
    </row>
    <row r="11" spans="1:11" s="116" customFormat="1" ht="20.100000000000001" customHeight="1">
      <c r="A11" s="900"/>
      <c r="B11" s="1072"/>
      <c r="C11" s="1072"/>
      <c r="D11" s="1072"/>
      <c r="E11" s="1072"/>
      <c r="F11" s="1078"/>
      <c r="G11" s="1080"/>
      <c r="H11" s="1072"/>
      <c r="I11" s="633" t="str">
        <f>'Tab.G1.1-4'!$D$11</f>
        <v>[tys. zł]</v>
      </c>
      <c r="J11" s="1076"/>
      <c r="K11" s="907"/>
    </row>
    <row r="12" spans="1:11" s="117" customFormat="1" ht="13.5" customHeight="1" thickBot="1">
      <c r="A12" s="901"/>
      <c r="B12" s="637" t="str">
        <f t="array" ref="B12:J12">TRANSPOSE(Tab.G17!$B$10:$B$18)</f>
        <v>01</v>
      </c>
      <c r="C12" s="637" t="str">
        <v>02</v>
      </c>
      <c r="D12" s="637" t="str">
        <v>03</v>
      </c>
      <c r="E12" s="637" t="str">
        <v>04</v>
      </c>
      <c r="F12" s="637" t="str">
        <v>05</v>
      </c>
      <c r="G12" s="637" t="str">
        <v>06</v>
      </c>
      <c r="H12" s="637" t="str">
        <v>07</v>
      </c>
      <c r="I12" s="637" t="str">
        <v>08</v>
      </c>
      <c r="J12" s="637" t="str">
        <v>09</v>
      </c>
      <c r="K12" s="908"/>
    </row>
    <row r="13" spans="1:11" s="117" customFormat="1" ht="12.75" customHeight="1">
      <c r="A13" s="901"/>
      <c r="B13" s="1053">
        <v>1</v>
      </c>
      <c r="C13" s="1056"/>
      <c r="D13" s="1057"/>
      <c r="E13" s="1056"/>
      <c r="F13" s="118"/>
      <c r="G13" s="119"/>
      <c r="H13" s="1056"/>
      <c r="I13" s="1061"/>
      <c r="J13" s="1061"/>
      <c r="K13" s="909"/>
    </row>
    <row r="14" spans="1:11" s="117" customFormat="1">
      <c r="A14" s="901"/>
      <c r="B14" s="1054"/>
      <c r="C14" s="1050"/>
      <c r="D14" s="1050"/>
      <c r="E14" s="1050"/>
      <c r="F14" s="120"/>
      <c r="G14" s="121"/>
      <c r="H14" s="1050"/>
      <c r="I14" s="1062"/>
      <c r="J14" s="1062"/>
      <c r="K14" s="909"/>
    </row>
    <row r="15" spans="1:11" s="117" customFormat="1" ht="13.8" thickBot="1">
      <c r="A15" s="901"/>
      <c r="B15" s="1058"/>
      <c r="C15" s="1052"/>
      <c r="D15" s="1052"/>
      <c r="E15" s="1052"/>
      <c r="F15" s="122"/>
      <c r="G15" s="123"/>
      <c r="H15" s="1052"/>
      <c r="I15" s="1063"/>
      <c r="J15" s="1063"/>
      <c r="K15" s="909"/>
    </row>
    <row r="16" spans="1:11" s="117" customFormat="1" ht="12.75" customHeight="1">
      <c r="A16" s="901"/>
      <c r="B16" s="1053">
        <v>2</v>
      </c>
      <c r="C16" s="1073"/>
      <c r="D16" s="1057"/>
      <c r="E16" s="1056"/>
      <c r="F16" s="118"/>
      <c r="G16" s="119"/>
      <c r="H16" s="1056"/>
      <c r="I16" s="1061"/>
      <c r="J16" s="1061"/>
      <c r="K16" s="909"/>
    </row>
    <row r="17" spans="1:11" s="117" customFormat="1">
      <c r="A17" s="901"/>
      <c r="B17" s="1054"/>
      <c r="C17" s="1074"/>
      <c r="D17" s="1050"/>
      <c r="E17" s="1050"/>
      <c r="F17" s="120"/>
      <c r="G17" s="121"/>
      <c r="H17" s="1050"/>
      <c r="I17" s="1062"/>
      <c r="J17" s="1062"/>
      <c r="K17" s="909"/>
    </row>
    <row r="18" spans="1:11" s="117" customFormat="1" ht="13.8" thickBot="1">
      <c r="A18" s="901"/>
      <c r="B18" s="1058"/>
      <c r="C18" s="1052"/>
      <c r="D18" s="1052"/>
      <c r="E18" s="1052"/>
      <c r="F18" s="122"/>
      <c r="G18" s="123"/>
      <c r="H18" s="1052"/>
      <c r="I18" s="1063"/>
      <c r="J18" s="1063"/>
      <c r="K18" s="909"/>
    </row>
    <row r="19" spans="1:11" s="117" customFormat="1" ht="12.75" customHeight="1">
      <c r="A19" s="901"/>
      <c r="B19" s="1053">
        <v>3</v>
      </c>
      <c r="C19" s="1056"/>
      <c r="D19" s="1057"/>
      <c r="E19" s="1056"/>
      <c r="F19" s="118"/>
      <c r="G19" s="119"/>
      <c r="H19" s="1056"/>
      <c r="I19" s="1061"/>
      <c r="J19" s="1061"/>
      <c r="K19" s="909"/>
    </row>
    <row r="20" spans="1:11" s="117" customFormat="1">
      <c r="A20" s="901"/>
      <c r="B20" s="1054"/>
      <c r="C20" s="1050"/>
      <c r="D20" s="1050"/>
      <c r="E20" s="1050"/>
      <c r="F20" s="120"/>
      <c r="G20" s="121"/>
      <c r="H20" s="1050"/>
      <c r="I20" s="1062"/>
      <c r="J20" s="1062"/>
      <c r="K20" s="909"/>
    </row>
    <row r="21" spans="1:11" s="117" customFormat="1" ht="13.8" thickBot="1">
      <c r="A21" s="901"/>
      <c r="B21" s="1058"/>
      <c r="C21" s="1052"/>
      <c r="D21" s="1052"/>
      <c r="E21" s="1052"/>
      <c r="F21" s="122"/>
      <c r="G21" s="123"/>
      <c r="H21" s="1052"/>
      <c r="I21" s="1063"/>
      <c r="J21" s="1063"/>
      <c r="K21" s="909"/>
    </row>
    <row r="22" spans="1:11" s="117" customFormat="1" ht="12.75" customHeight="1">
      <c r="A22" s="901"/>
      <c r="B22" s="1053">
        <v>4</v>
      </c>
      <c r="C22" s="1056"/>
      <c r="D22" s="1057"/>
      <c r="E22" s="1056"/>
      <c r="F22" s="118"/>
      <c r="G22" s="119"/>
      <c r="H22" s="1056"/>
      <c r="I22" s="1061"/>
      <c r="J22" s="1061"/>
      <c r="K22" s="909"/>
    </row>
    <row r="23" spans="1:11" s="117" customFormat="1">
      <c r="A23" s="901"/>
      <c r="B23" s="1054"/>
      <c r="C23" s="1050"/>
      <c r="D23" s="1050"/>
      <c r="E23" s="1050"/>
      <c r="F23" s="120"/>
      <c r="G23" s="121"/>
      <c r="H23" s="1050"/>
      <c r="I23" s="1062"/>
      <c r="J23" s="1062"/>
      <c r="K23" s="909"/>
    </row>
    <row r="24" spans="1:11" s="117" customFormat="1" ht="13.8" thickBot="1">
      <c r="A24" s="901"/>
      <c r="B24" s="1058"/>
      <c r="C24" s="1052"/>
      <c r="D24" s="1052"/>
      <c r="E24" s="1052"/>
      <c r="F24" s="122"/>
      <c r="G24" s="123"/>
      <c r="H24" s="1052"/>
      <c r="I24" s="1063"/>
      <c r="J24" s="1063"/>
      <c r="K24" s="909"/>
    </row>
    <row r="25" spans="1:11" s="117" customFormat="1" ht="12.75" customHeight="1">
      <c r="A25" s="901"/>
      <c r="B25" s="1053">
        <v>5</v>
      </c>
      <c r="C25" s="1056"/>
      <c r="D25" s="1057"/>
      <c r="E25" s="1056"/>
      <c r="F25" s="118"/>
      <c r="G25" s="119"/>
      <c r="H25" s="1056"/>
      <c r="I25" s="1061"/>
      <c r="J25" s="1061"/>
      <c r="K25" s="909"/>
    </row>
    <row r="26" spans="1:11" s="117" customFormat="1">
      <c r="A26" s="901"/>
      <c r="B26" s="1054"/>
      <c r="C26" s="1050"/>
      <c r="D26" s="1050"/>
      <c r="E26" s="1050"/>
      <c r="F26" s="120"/>
      <c r="G26" s="121"/>
      <c r="H26" s="1050"/>
      <c r="I26" s="1062"/>
      <c r="J26" s="1062"/>
      <c r="K26" s="909"/>
    </row>
    <row r="27" spans="1:11" s="117" customFormat="1" ht="13.8" thickBot="1">
      <c r="A27" s="901"/>
      <c r="B27" s="1058"/>
      <c r="C27" s="1052"/>
      <c r="D27" s="1052"/>
      <c r="E27" s="1052"/>
      <c r="F27" s="122"/>
      <c r="G27" s="123"/>
      <c r="H27" s="1052"/>
      <c r="I27" s="1063"/>
      <c r="J27" s="1063"/>
      <c r="K27" s="909"/>
    </row>
    <row r="28" spans="1:11" s="117" customFormat="1" ht="12.75" customHeight="1">
      <c r="A28" s="901"/>
      <c r="B28" s="1053">
        <v>6</v>
      </c>
      <c r="C28" s="1056"/>
      <c r="D28" s="1057"/>
      <c r="E28" s="1056"/>
      <c r="F28" s="118"/>
      <c r="G28" s="119"/>
      <c r="H28" s="1056"/>
      <c r="I28" s="1061"/>
      <c r="J28" s="1061"/>
      <c r="K28" s="909"/>
    </row>
    <row r="29" spans="1:11" s="117" customFormat="1">
      <c r="A29" s="901"/>
      <c r="B29" s="1054"/>
      <c r="C29" s="1050"/>
      <c r="D29" s="1050"/>
      <c r="E29" s="1050"/>
      <c r="F29" s="120"/>
      <c r="G29" s="121"/>
      <c r="H29" s="1050"/>
      <c r="I29" s="1062"/>
      <c r="J29" s="1062"/>
      <c r="K29" s="909"/>
    </row>
    <row r="30" spans="1:11" s="117" customFormat="1" ht="13.8" thickBot="1">
      <c r="A30" s="901"/>
      <c r="B30" s="1058"/>
      <c r="C30" s="1052"/>
      <c r="D30" s="1052"/>
      <c r="E30" s="1052"/>
      <c r="F30" s="122"/>
      <c r="G30" s="123"/>
      <c r="H30" s="1052"/>
      <c r="I30" s="1063"/>
      <c r="J30" s="1063"/>
      <c r="K30" s="909"/>
    </row>
    <row r="31" spans="1:11" s="117" customFormat="1" ht="12.75" customHeight="1">
      <c r="A31" s="901"/>
      <c r="B31" s="1053">
        <v>7</v>
      </c>
      <c r="C31" s="1056"/>
      <c r="D31" s="1057"/>
      <c r="E31" s="1056"/>
      <c r="F31" s="118"/>
      <c r="G31" s="119"/>
      <c r="H31" s="1056"/>
      <c r="I31" s="1061"/>
      <c r="J31" s="1061"/>
      <c r="K31" s="910"/>
    </row>
    <row r="32" spans="1:11" s="117" customFormat="1">
      <c r="A32" s="901"/>
      <c r="B32" s="1054"/>
      <c r="C32" s="1050"/>
      <c r="D32" s="1050"/>
      <c r="E32" s="1050"/>
      <c r="F32" s="120"/>
      <c r="G32" s="121"/>
      <c r="H32" s="1050"/>
      <c r="I32" s="1062"/>
      <c r="J32" s="1062"/>
      <c r="K32" s="910"/>
    </row>
    <row r="33" spans="1:11" s="117" customFormat="1" ht="13.8" thickBot="1">
      <c r="A33" s="901"/>
      <c r="B33" s="1058"/>
      <c r="C33" s="1052"/>
      <c r="D33" s="1052"/>
      <c r="E33" s="1052"/>
      <c r="F33" s="122"/>
      <c r="G33" s="123"/>
      <c r="H33" s="1052"/>
      <c r="I33" s="1063"/>
      <c r="J33" s="1063"/>
      <c r="K33" s="910"/>
    </row>
    <row r="34" spans="1:11" s="117" customFormat="1" ht="12.75" customHeight="1">
      <c r="A34" s="901"/>
      <c r="B34" s="1053">
        <v>8</v>
      </c>
      <c r="C34" s="1056"/>
      <c r="D34" s="1057"/>
      <c r="E34" s="1056"/>
      <c r="F34" s="118"/>
      <c r="G34" s="119"/>
      <c r="H34" s="1056"/>
      <c r="I34" s="1061"/>
      <c r="J34" s="1061"/>
      <c r="K34" s="910"/>
    </row>
    <row r="35" spans="1:11" s="117" customFormat="1">
      <c r="A35" s="901"/>
      <c r="B35" s="1054"/>
      <c r="C35" s="1050"/>
      <c r="D35" s="1050"/>
      <c r="E35" s="1050"/>
      <c r="F35" s="120"/>
      <c r="G35" s="121"/>
      <c r="H35" s="1050"/>
      <c r="I35" s="1062"/>
      <c r="J35" s="1062"/>
      <c r="K35" s="910"/>
    </row>
    <row r="36" spans="1:11" s="117" customFormat="1" ht="13.8" thickBot="1">
      <c r="A36" s="901"/>
      <c r="B36" s="1054"/>
      <c r="C36" s="1050"/>
      <c r="D36" s="1050"/>
      <c r="E36" s="1050"/>
      <c r="F36" s="120"/>
      <c r="G36" s="124"/>
      <c r="H36" s="1050"/>
      <c r="I36" s="1062"/>
      <c r="J36" s="1062"/>
      <c r="K36" s="910"/>
    </row>
    <row r="37" spans="1:11" s="117" customFormat="1" ht="12.75" customHeight="1">
      <c r="A37" s="901"/>
      <c r="B37" s="1067">
        <v>9</v>
      </c>
      <c r="C37" s="1067"/>
      <c r="D37" s="1067"/>
      <c r="E37" s="1067"/>
      <c r="F37" s="118"/>
      <c r="G37" s="1067"/>
      <c r="H37" s="1067"/>
      <c r="I37" s="1064"/>
      <c r="J37" s="1064"/>
      <c r="K37" s="910"/>
    </row>
    <row r="38" spans="1:11" s="117" customFormat="1">
      <c r="A38" s="901"/>
      <c r="B38" s="1068"/>
      <c r="C38" s="1068"/>
      <c r="D38" s="1068"/>
      <c r="E38" s="1068"/>
      <c r="F38" s="120"/>
      <c r="G38" s="1068"/>
      <c r="H38" s="1068"/>
      <c r="I38" s="1065"/>
      <c r="J38" s="1065"/>
      <c r="K38" s="910"/>
    </row>
    <row r="39" spans="1:11" s="117" customFormat="1" ht="13.8" thickBot="1">
      <c r="A39" s="901"/>
      <c r="B39" s="1069"/>
      <c r="C39" s="1069"/>
      <c r="D39" s="1069"/>
      <c r="E39" s="1069"/>
      <c r="F39" s="120"/>
      <c r="G39" s="1069"/>
      <c r="H39" s="1069"/>
      <c r="I39" s="1066"/>
      <c r="J39" s="1066"/>
      <c r="K39" s="910"/>
    </row>
    <row r="40" spans="1:11" s="125" customFormat="1" ht="13.8">
      <c r="A40" s="902"/>
      <c r="B40" s="1053">
        <v>10</v>
      </c>
      <c r="C40" s="1056"/>
      <c r="D40" s="1057"/>
      <c r="E40" s="1056"/>
      <c r="F40" s="118"/>
      <c r="G40" s="119"/>
      <c r="H40" s="1056"/>
      <c r="I40" s="1061"/>
      <c r="J40" s="1061"/>
      <c r="K40" s="911"/>
    </row>
    <row r="41" spans="1:11" s="125" customFormat="1" ht="13.8">
      <c r="A41" s="902"/>
      <c r="B41" s="1054"/>
      <c r="C41" s="1050"/>
      <c r="D41" s="1050"/>
      <c r="E41" s="1050"/>
      <c r="F41" s="120"/>
      <c r="G41" s="121"/>
      <c r="H41" s="1050"/>
      <c r="I41" s="1062"/>
      <c r="J41" s="1062"/>
      <c r="K41" s="911"/>
    </row>
    <row r="42" spans="1:11" s="125" customFormat="1" ht="13.8">
      <c r="A42" s="902"/>
      <c r="B42" s="1058"/>
      <c r="C42" s="1052"/>
      <c r="D42" s="1052"/>
      <c r="E42" s="1052"/>
      <c r="F42" s="122"/>
      <c r="G42" s="123"/>
      <c r="H42" s="1052"/>
      <c r="I42" s="1063"/>
      <c r="J42" s="1063"/>
      <c r="K42" s="911"/>
    </row>
    <row r="43" spans="1:11" s="125" customFormat="1" ht="15.75" hidden="1" customHeight="1" outlineLevel="1">
      <c r="A43" s="902"/>
      <c r="B43" s="1053">
        <v>11</v>
      </c>
      <c r="C43" s="1056"/>
      <c r="D43" s="1057"/>
      <c r="E43" s="1056"/>
      <c r="F43" s="118"/>
      <c r="G43" s="119"/>
      <c r="H43" s="1056"/>
      <c r="I43" s="1049"/>
      <c r="J43" s="1049"/>
      <c r="K43" s="911"/>
    </row>
    <row r="44" spans="1:11" s="125" customFormat="1" ht="15.75" hidden="1" customHeight="1" outlineLevel="1">
      <c r="A44" s="902"/>
      <c r="B44" s="1054"/>
      <c r="C44" s="1050"/>
      <c r="D44" s="1050"/>
      <c r="E44" s="1050"/>
      <c r="F44" s="120"/>
      <c r="G44" s="121"/>
      <c r="H44" s="1050"/>
      <c r="I44" s="1050"/>
      <c r="J44" s="1050"/>
      <c r="K44" s="911"/>
    </row>
    <row r="45" spans="1:11" s="125" customFormat="1" ht="15" hidden="1" customHeight="1" outlineLevel="1" thickBot="1">
      <c r="A45" s="902"/>
      <c r="B45" s="1058"/>
      <c r="C45" s="1052"/>
      <c r="D45" s="1052"/>
      <c r="E45" s="1052"/>
      <c r="F45" s="122"/>
      <c r="G45" s="123"/>
      <c r="H45" s="1052"/>
      <c r="I45" s="1052"/>
      <c r="J45" s="1052"/>
      <c r="K45" s="911"/>
    </row>
    <row r="46" spans="1:11" s="125" customFormat="1" ht="14.25" hidden="1" customHeight="1" outlineLevel="1">
      <c r="A46" s="902"/>
      <c r="B46" s="1053">
        <v>12</v>
      </c>
      <c r="C46" s="1056">
        <f>C18</f>
        <v>0</v>
      </c>
      <c r="D46" s="1057"/>
      <c r="E46" s="1056"/>
      <c r="F46" s="118"/>
      <c r="G46" s="119"/>
      <c r="H46" s="1056"/>
      <c r="I46" s="1049"/>
      <c r="J46" s="1049"/>
      <c r="K46" s="911"/>
    </row>
    <row r="47" spans="1:11" s="125" customFormat="1" ht="14.25" hidden="1" customHeight="1" outlineLevel="1">
      <c r="A47" s="902"/>
      <c r="B47" s="1054"/>
      <c r="C47" s="1050"/>
      <c r="D47" s="1050"/>
      <c r="E47" s="1050"/>
      <c r="F47" s="120"/>
      <c r="G47" s="121"/>
      <c r="H47" s="1050"/>
      <c r="I47" s="1050"/>
      <c r="J47" s="1050"/>
      <c r="K47" s="911"/>
    </row>
    <row r="48" spans="1:11" s="125" customFormat="1" ht="15" hidden="1" customHeight="1" outlineLevel="1" thickBot="1">
      <c r="A48" s="902"/>
      <c r="B48" s="1058"/>
      <c r="C48" s="1052"/>
      <c r="D48" s="1052"/>
      <c r="E48" s="1052"/>
      <c r="F48" s="122"/>
      <c r="G48" s="123"/>
      <c r="H48" s="1052"/>
      <c r="I48" s="1052"/>
      <c r="J48" s="1052"/>
      <c r="K48" s="911"/>
    </row>
    <row r="49" spans="1:11" s="125" customFormat="1" ht="14.25" hidden="1" customHeight="1" outlineLevel="1">
      <c r="A49" s="902"/>
      <c r="B49" s="1053">
        <v>13</v>
      </c>
      <c r="C49" s="1056"/>
      <c r="D49" s="1057"/>
      <c r="E49" s="1056"/>
      <c r="F49" s="118"/>
      <c r="G49" s="119"/>
      <c r="H49" s="1056"/>
      <c r="I49" s="1049"/>
      <c r="J49" s="1049"/>
      <c r="K49" s="911"/>
    </row>
    <row r="50" spans="1:11" s="125" customFormat="1" ht="14.25" hidden="1" customHeight="1" outlineLevel="1">
      <c r="A50" s="902"/>
      <c r="B50" s="1054"/>
      <c r="C50" s="1050"/>
      <c r="D50" s="1050"/>
      <c r="E50" s="1050"/>
      <c r="F50" s="120"/>
      <c r="G50" s="121"/>
      <c r="H50" s="1050"/>
      <c r="I50" s="1050"/>
      <c r="J50" s="1050"/>
      <c r="K50" s="911"/>
    </row>
    <row r="51" spans="1:11" s="125" customFormat="1" ht="15" hidden="1" customHeight="1" outlineLevel="1" thickBot="1">
      <c r="A51" s="902"/>
      <c r="B51" s="1058"/>
      <c r="C51" s="1052"/>
      <c r="D51" s="1052"/>
      <c r="E51" s="1052"/>
      <c r="F51" s="122"/>
      <c r="G51" s="123"/>
      <c r="H51" s="1052"/>
      <c r="I51" s="1052"/>
      <c r="J51" s="1052"/>
      <c r="K51" s="911"/>
    </row>
    <row r="52" spans="1:11" s="125" customFormat="1" ht="14.25" hidden="1" customHeight="1" outlineLevel="1">
      <c r="A52" s="902"/>
      <c r="B52" s="1053">
        <v>14</v>
      </c>
      <c r="C52" s="1056"/>
      <c r="D52" s="1057"/>
      <c r="E52" s="1056"/>
      <c r="F52" s="118"/>
      <c r="G52" s="119"/>
      <c r="H52" s="1056"/>
      <c r="I52" s="1049"/>
      <c r="J52" s="1049"/>
      <c r="K52" s="911"/>
    </row>
    <row r="53" spans="1:11" s="125" customFormat="1" ht="14.25" hidden="1" customHeight="1" outlineLevel="1">
      <c r="A53" s="902"/>
      <c r="B53" s="1054"/>
      <c r="C53" s="1050"/>
      <c r="D53" s="1050"/>
      <c r="E53" s="1050"/>
      <c r="F53" s="120"/>
      <c r="G53" s="121"/>
      <c r="H53" s="1050"/>
      <c r="I53" s="1050"/>
      <c r="J53" s="1050"/>
      <c r="K53" s="911"/>
    </row>
    <row r="54" spans="1:11" s="125" customFormat="1" ht="15" hidden="1" customHeight="1" outlineLevel="1" thickBot="1">
      <c r="A54" s="902"/>
      <c r="B54" s="1058"/>
      <c r="C54" s="1052"/>
      <c r="D54" s="1052"/>
      <c r="E54" s="1052"/>
      <c r="F54" s="122"/>
      <c r="G54" s="123"/>
      <c r="H54" s="1052"/>
      <c r="I54" s="1052"/>
      <c r="J54" s="1052"/>
      <c r="K54" s="911"/>
    </row>
    <row r="55" spans="1:11" s="125" customFormat="1" ht="14.25" hidden="1" customHeight="1" outlineLevel="1">
      <c r="A55" s="902"/>
      <c r="B55" s="1053">
        <v>15</v>
      </c>
      <c r="C55" s="1056"/>
      <c r="D55" s="1057"/>
      <c r="E55" s="1056"/>
      <c r="F55" s="118"/>
      <c r="G55" s="119"/>
      <c r="H55" s="1056"/>
      <c r="I55" s="1049"/>
      <c r="J55" s="1049"/>
      <c r="K55" s="911"/>
    </row>
    <row r="56" spans="1:11" s="125" customFormat="1" ht="14.25" hidden="1" customHeight="1" outlineLevel="1">
      <c r="A56" s="902"/>
      <c r="B56" s="1054"/>
      <c r="C56" s="1050"/>
      <c r="D56" s="1050"/>
      <c r="E56" s="1050"/>
      <c r="F56" s="120"/>
      <c r="G56" s="121"/>
      <c r="H56" s="1050"/>
      <c r="I56" s="1050"/>
      <c r="J56" s="1050"/>
      <c r="K56" s="911"/>
    </row>
    <row r="57" spans="1:11" s="125" customFormat="1" ht="15" hidden="1" customHeight="1" outlineLevel="1" thickBot="1">
      <c r="A57" s="902"/>
      <c r="B57" s="1058"/>
      <c r="C57" s="1052"/>
      <c r="D57" s="1052"/>
      <c r="E57" s="1052"/>
      <c r="F57" s="122"/>
      <c r="G57" s="123"/>
      <c r="H57" s="1052"/>
      <c r="I57" s="1052"/>
      <c r="J57" s="1052"/>
      <c r="K57" s="911"/>
    </row>
    <row r="58" spans="1:11" s="125" customFormat="1" ht="14.25" hidden="1" customHeight="1" outlineLevel="1">
      <c r="A58" s="902"/>
      <c r="B58" s="1053">
        <v>16</v>
      </c>
      <c r="C58" s="1056"/>
      <c r="D58" s="1057"/>
      <c r="E58" s="1056"/>
      <c r="F58" s="118"/>
      <c r="G58" s="119"/>
      <c r="H58" s="1056"/>
      <c r="I58" s="1049"/>
      <c r="J58" s="1049"/>
      <c r="K58" s="911"/>
    </row>
    <row r="59" spans="1:11" s="125" customFormat="1" ht="14.25" hidden="1" customHeight="1" outlineLevel="1">
      <c r="A59" s="902"/>
      <c r="B59" s="1054"/>
      <c r="C59" s="1050"/>
      <c r="D59" s="1050"/>
      <c r="E59" s="1050"/>
      <c r="F59" s="120"/>
      <c r="G59" s="121"/>
      <c r="H59" s="1050"/>
      <c r="I59" s="1050"/>
      <c r="J59" s="1050"/>
      <c r="K59" s="911"/>
    </row>
    <row r="60" spans="1:11" s="125" customFormat="1" ht="15" hidden="1" customHeight="1" outlineLevel="1" thickBot="1">
      <c r="A60" s="902"/>
      <c r="B60" s="1058"/>
      <c r="C60" s="1052"/>
      <c r="D60" s="1052"/>
      <c r="E60" s="1052"/>
      <c r="F60" s="122"/>
      <c r="G60" s="123"/>
      <c r="H60" s="1052"/>
      <c r="I60" s="1052"/>
      <c r="J60" s="1052"/>
      <c r="K60" s="911"/>
    </row>
    <row r="61" spans="1:11" s="125" customFormat="1" ht="14.25" hidden="1" customHeight="1" outlineLevel="1">
      <c r="A61" s="902"/>
      <c r="B61" s="1053">
        <v>17</v>
      </c>
      <c r="C61" s="1056"/>
      <c r="D61" s="1057"/>
      <c r="E61" s="1056"/>
      <c r="F61" s="118"/>
      <c r="G61" s="119"/>
      <c r="H61" s="1056"/>
      <c r="I61" s="1049"/>
      <c r="J61" s="1049"/>
      <c r="K61" s="911"/>
    </row>
    <row r="62" spans="1:11" s="125" customFormat="1" ht="14.25" hidden="1" customHeight="1" outlineLevel="1">
      <c r="A62" s="902"/>
      <c r="B62" s="1054"/>
      <c r="C62" s="1050"/>
      <c r="D62" s="1050"/>
      <c r="E62" s="1050"/>
      <c r="F62" s="120"/>
      <c r="G62" s="121"/>
      <c r="H62" s="1050"/>
      <c r="I62" s="1050"/>
      <c r="J62" s="1050"/>
      <c r="K62" s="911"/>
    </row>
    <row r="63" spans="1:11" s="125" customFormat="1" ht="15" hidden="1" customHeight="1" outlineLevel="1" thickBot="1">
      <c r="A63" s="902"/>
      <c r="B63" s="1058"/>
      <c r="C63" s="1052"/>
      <c r="D63" s="1052"/>
      <c r="E63" s="1052"/>
      <c r="F63" s="122"/>
      <c r="G63" s="123"/>
      <c r="H63" s="1052"/>
      <c r="I63" s="1052"/>
      <c r="J63" s="1052"/>
      <c r="K63" s="911"/>
    </row>
    <row r="64" spans="1:11" s="125" customFormat="1" ht="14.25" hidden="1" customHeight="1" outlineLevel="1">
      <c r="A64" s="902"/>
      <c r="B64" s="1053">
        <v>18</v>
      </c>
      <c r="C64" s="1056"/>
      <c r="D64" s="1057"/>
      <c r="E64" s="1056"/>
      <c r="F64" s="118"/>
      <c r="G64" s="119"/>
      <c r="H64" s="1056"/>
      <c r="I64" s="1049"/>
      <c r="J64" s="1049"/>
      <c r="K64" s="911"/>
    </row>
    <row r="65" spans="1:11" s="125" customFormat="1" ht="14.25" hidden="1" customHeight="1" outlineLevel="1">
      <c r="A65" s="902"/>
      <c r="B65" s="1054"/>
      <c r="C65" s="1050"/>
      <c r="D65" s="1050"/>
      <c r="E65" s="1050"/>
      <c r="F65" s="120"/>
      <c r="G65" s="121"/>
      <c r="H65" s="1050"/>
      <c r="I65" s="1050"/>
      <c r="J65" s="1050"/>
      <c r="K65" s="911"/>
    </row>
    <row r="66" spans="1:11" s="125" customFormat="1" ht="15" hidden="1" customHeight="1" outlineLevel="1" thickBot="1">
      <c r="A66" s="902"/>
      <c r="B66" s="1058"/>
      <c r="C66" s="1052"/>
      <c r="D66" s="1052"/>
      <c r="E66" s="1052"/>
      <c r="F66" s="122"/>
      <c r="G66" s="123"/>
      <c r="H66" s="1052"/>
      <c r="I66" s="1052"/>
      <c r="J66" s="1052"/>
      <c r="K66" s="911"/>
    </row>
    <row r="67" spans="1:11" s="125" customFormat="1" ht="14.25" hidden="1" customHeight="1" outlineLevel="1">
      <c r="A67" s="902"/>
      <c r="B67" s="1053">
        <v>19</v>
      </c>
      <c r="C67" s="1056"/>
      <c r="D67" s="1057"/>
      <c r="E67" s="1056"/>
      <c r="F67" s="118"/>
      <c r="G67" s="119"/>
      <c r="H67" s="1056"/>
      <c r="I67" s="1049"/>
      <c r="J67" s="1049"/>
      <c r="K67" s="911"/>
    </row>
    <row r="68" spans="1:11" s="125" customFormat="1" ht="14.25" hidden="1" customHeight="1" outlineLevel="1">
      <c r="A68" s="902"/>
      <c r="B68" s="1054"/>
      <c r="C68" s="1050"/>
      <c r="D68" s="1050"/>
      <c r="E68" s="1050"/>
      <c r="F68" s="120"/>
      <c r="G68" s="121"/>
      <c r="H68" s="1050"/>
      <c r="I68" s="1050"/>
      <c r="J68" s="1050"/>
      <c r="K68" s="911"/>
    </row>
    <row r="69" spans="1:11" s="125" customFormat="1" ht="15" hidden="1" customHeight="1" outlineLevel="1" thickBot="1">
      <c r="A69" s="902"/>
      <c r="B69" s="1058"/>
      <c r="C69" s="1052"/>
      <c r="D69" s="1052"/>
      <c r="E69" s="1052"/>
      <c r="F69" s="122"/>
      <c r="G69" s="123"/>
      <c r="H69" s="1052"/>
      <c r="I69" s="1052"/>
      <c r="J69" s="1052"/>
      <c r="K69" s="911"/>
    </row>
    <row r="70" spans="1:11" s="125" customFormat="1" ht="14.25" hidden="1" customHeight="1" outlineLevel="1">
      <c r="A70" s="902"/>
      <c r="B70" s="1053">
        <v>20</v>
      </c>
      <c r="C70" s="1056"/>
      <c r="D70" s="1057"/>
      <c r="E70" s="1056"/>
      <c r="F70" s="118"/>
      <c r="G70" s="119"/>
      <c r="H70" s="1056"/>
      <c r="I70" s="1049"/>
      <c r="J70" s="1049"/>
      <c r="K70" s="911"/>
    </row>
    <row r="71" spans="1:11" s="125" customFormat="1" ht="14.25" hidden="1" customHeight="1" outlineLevel="1">
      <c r="A71" s="902"/>
      <c r="B71" s="1054"/>
      <c r="C71" s="1050"/>
      <c r="D71" s="1050"/>
      <c r="E71" s="1050"/>
      <c r="F71" s="120"/>
      <c r="G71" s="121"/>
      <c r="H71" s="1050"/>
      <c r="I71" s="1050"/>
      <c r="J71" s="1050"/>
      <c r="K71" s="911"/>
    </row>
    <row r="72" spans="1:11" s="125" customFormat="1" ht="15" hidden="1" customHeight="1" outlineLevel="1" thickBot="1">
      <c r="A72" s="902"/>
      <c r="B72" s="1058"/>
      <c r="C72" s="1052"/>
      <c r="D72" s="1052"/>
      <c r="E72" s="1052"/>
      <c r="F72" s="122"/>
      <c r="G72" s="123"/>
      <c r="H72" s="1052"/>
      <c r="I72" s="1052"/>
      <c r="J72" s="1052"/>
      <c r="K72" s="911"/>
    </row>
    <row r="73" spans="1:11" s="125" customFormat="1" ht="14.25" hidden="1" customHeight="1" outlineLevel="1">
      <c r="A73" s="902"/>
      <c r="B73" s="1053">
        <v>21</v>
      </c>
      <c r="C73" s="1056"/>
      <c r="D73" s="1057"/>
      <c r="E73" s="1056"/>
      <c r="F73" s="118"/>
      <c r="G73" s="119"/>
      <c r="H73" s="1056"/>
      <c r="I73" s="1049"/>
      <c r="J73" s="1049"/>
      <c r="K73" s="911"/>
    </row>
    <row r="74" spans="1:11" s="125" customFormat="1" ht="14.25" hidden="1" customHeight="1" outlineLevel="1">
      <c r="A74" s="902"/>
      <c r="B74" s="1054"/>
      <c r="C74" s="1050"/>
      <c r="D74" s="1050"/>
      <c r="E74" s="1050"/>
      <c r="F74" s="120"/>
      <c r="G74" s="121"/>
      <c r="H74" s="1050"/>
      <c r="I74" s="1050"/>
      <c r="J74" s="1050"/>
      <c r="K74" s="911"/>
    </row>
    <row r="75" spans="1:11" s="125" customFormat="1" ht="15" hidden="1" customHeight="1" outlineLevel="1" thickBot="1">
      <c r="A75" s="902"/>
      <c r="B75" s="1058"/>
      <c r="C75" s="1052"/>
      <c r="D75" s="1052"/>
      <c r="E75" s="1052"/>
      <c r="F75" s="122"/>
      <c r="G75" s="123"/>
      <c r="H75" s="1052"/>
      <c r="I75" s="1052"/>
      <c r="J75" s="1052"/>
      <c r="K75" s="911"/>
    </row>
    <row r="76" spans="1:11" s="125" customFormat="1" ht="14.25" hidden="1" customHeight="1" outlineLevel="1">
      <c r="A76" s="902"/>
      <c r="B76" s="1053">
        <v>22</v>
      </c>
      <c r="C76" s="1056"/>
      <c r="D76" s="1057"/>
      <c r="E76" s="1056"/>
      <c r="F76" s="118"/>
      <c r="G76" s="119"/>
      <c r="H76" s="1056"/>
      <c r="I76" s="1049"/>
      <c r="J76" s="1049"/>
      <c r="K76" s="911"/>
    </row>
    <row r="77" spans="1:11" s="125" customFormat="1" ht="14.25" hidden="1" customHeight="1" outlineLevel="1">
      <c r="A77" s="902"/>
      <c r="B77" s="1054"/>
      <c r="C77" s="1050"/>
      <c r="D77" s="1050"/>
      <c r="E77" s="1050"/>
      <c r="F77" s="120"/>
      <c r="G77" s="121"/>
      <c r="H77" s="1050"/>
      <c r="I77" s="1050"/>
      <c r="J77" s="1050"/>
      <c r="K77" s="911"/>
    </row>
    <row r="78" spans="1:11" s="125" customFormat="1" ht="15" hidden="1" customHeight="1" outlineLevel="1" thickBot="1">
      <c r="A78" s="902"/>
      <c r="B78" s="1058"/>
      <c r="C78" s="1052"/>
      <c r="D78" s="1052"/>
      <c r="E78" s="1052"/>
      <c r="F78" s="122"/>
      <c r="G78" s="123"/>
      <c r="H78" s="1052"/>
      <c r="I78" s="1052"/>
      <c r="J78" s="1052"/>
      <c r="K78" s="911"/>
    </row>
    <row r="79" spans="1:11" s="125" customFormat="1" ht="14.25" hidden="1" customHeight="1" outlineLevel="1">
      <c r="A79" s="902"/>
      <c r="B79" s="1053">
        <v>23</v>
      </c>
      <c r="C79" s="1056"/>
      <c r="D79" s="1057"/>
      <c r="E79" s="1056"/>
      <c r="F79" s="118"/>
      <c r="G79" s="119"/>
      <c r="H79" s="1056"/>
      <c r="I79" s="1049"/>
      <c r="J79" s="1049"/>
      <c r="K79" s="911"/>
    </row>
    <row r="80" spans="1:11" s="125" customFormat="1" ht="14.25" hidden="1" customHeight="1" outlineLevel="1">
      <c r="A80" s="902"/>
      <c r="B80" s="1054"/>
      <c r="C80" s="1050"/>
      <c r="D80" s="1050"/>
      <c r="E80" s="1050"/>
      <c r="F80" s="120"/>
      <c r="G80" s="121"/>
      <c r="H80" s="1050"/>
      <c r="I80" s="1050"/>
      <c r="J80" s="1050"/>
      <c r="K80" s="911"/>
    </row>
    <row r="81" spans="1:11" s="125" customFormat="1" ht="15" hidden="1" customHeight="1" outlineLevel="1" thickBot="1">
      <c r="A81" s="902"/>
      <c r="B81" s="1058"/>
      <c r="C81" s="1052"/>
      <c r="D81" s="1052"/>
      <c r="E81" s="1052"/>
      <c r="F81" s="122"/>
      <c r="G81" s="123"/>
      <c r="H81" s="1052"/>
      <c r="I81" s="1052"/>
      <c r="J81" s="1052"/>
      <c r="K81" s="911"/>
    </row>
    <row r="82" spans="1:11" s="125" customFormat="1" ht="14.25" hidden="1" customHeight="1" outlineLevel="1">
      <c r="A82" s="902"/>
      <c r="B82" s="1053">
        <v>24</v>
      </c>
      <c r="C82" s="1056"/>
      <c r="D82" s="1057"/>
      <c r="E82" s="1056"/>
      <c r="F82" s="118"/>
      <c r="G82" s="119"/>
      <c r="H82" s="1056"/>
      <c r="I82" s="1049"/>
      <c r="J82" s="1049"/>
      <c r="K82" s="911"/>
    </row>
    <row r="83" spans="1:11" s="125" customFormat="1" ht="14.25" hidden="1" customHeight="1" outlineLevel="1">
      <c r="A83" s="902"/>
      <c r="B83" s="1054"/>
      <c r="C83" s="1050"/>
      <c r="D83" s="1050"/>
      <c r="E83" s="1050"/>
      <c r="F83" s="120"/>
      <c r="G83" s="121"/>
      <c r="H83" s="1050"/>
      <c r="I83" s="1050"/>
      <c r="J83" s="1050"/>
      <c r="K83" s="911"/>
    </row>
    <row r="84" spans="1:11" s="125" customFormat="1" ht="15" hidden="1" customHeight="1" outlineLevel="1" thickBot="1">
      <c r="A84" s="902"/>
      <c r="B84" s="1058"/>
      <c r="C84" s="1052"/>
      <c r="D84" s="1052"/>
      <c r="E84" s="1052"/>
      <c r="F84" s="122"/>
      <c r="G84" s="123"/>
      <c r="H84" s="1052"/>
      <c r="I84" s="1052"/>
      <c r="J84" s="1052"/>
      <c r="K84" s="911"/>
    </row>
    <row r="85" spans="1:11" s="125" customFormat="1" ht="14.25" hidden="1" customHeight="1" outlineLevel="1">
      <c r="A85" s="902"/>
      <c r="B85" s="1053">
        <v>25</v>
      </c>
      <c r="C85" s="1056"/>
      <c r="D85" s="1057"/>
      <c r="E85" s="1056"/>
      <c r="F85" s="118"/>
      <c r="G85" s="119"/>
      <c r="H85" s="1056"/>
      <c r="I85" s="1049"/>
      <c r="J85" s="1049"/>
      <c r="K85" s="911"/>
    </row>
    <row r="86" spans="1:11" s="125" customFormat="1" ht="14.25" hidden="1" customHeight="1" outlineLevel="1">
      <c r="A86" s="902"/>
      <c r="B86" s="1054"/>
      <c r="C86" s="1050"/>
      <c r="D86" s="1050"/>
      <c r="E86" s="1050"/>
      <c r="F86" s="120"/>
      <c r="G86" s="121"/>
      <c r="H86" s="1050"/>
      <c r="I86" s="1050"/>
      <c r="J86" s="1050"/>
      <c r="K86" s="911"/>
    </row>
    <row r="87" spans="1:11" s="125" customFormat="1" ht="15" hidden="1" customHeight="1" outlineLevel="1" thickBot="1">
      <c r="A87" s="902"/>
      <c r="B87" s="1058"/>
      <c r="C87" s="1052"/>
      <c r="D87" s="1052"/>
      <c r="E87" s="1052"/>
      <c r="F87" s="122"/>
      <c r="G87" s="123"/>
      <c r="H87" s="1052"/>
      <c r="I87" s="1052"/>
      <c r="J87" s="1052"/>
      <c r="K87" s="911"/>
    </row>
    <row r="88" spans="1:11" s="125" customFormat="1" ht="14.25" hidden="1" customHeight="1" outlineLevel="1">
      <c r="A88" s="902"/>
      <c r="B88" s="1053">
        <v>26</v>
      </c>
      <c r="C88" s="1056"/>
      <c r="D88" s="1057"/>
      <c r="E88" s="1056"/>
      <c r="F88" s="118"/>
      <c r="G88" s="119"/>
      <c r="H88" s="1056"/>
      <c r="I88" s="1049"/>
      <c r="J88" s="1049"/>
      <c r="K88" s="911"/>
    </row>
    <row r="89" spans="1:11" s="125" customFormat="1" ht="14.25" hidden="1" customHeight="1" outlineLevel="1">
      <c r="A89" s="902"/>
      <c r="B89" s="1054"/>
      <c r="C89" s="1050"/>
      <c r="D89" s="1050"/>
      <c r="E89" s="1050"/>
      <c r="F89" s="120"/>
      <c r="G89" s="121"/>
      <c r="H89" s="1050"/>
      <c r="I89" s="1050"/>
      <c r="J89" s="1050"/>
      <c r="K89" s="911"/>
    </row>
    <row r="90" spans="1:11" s="125" customFormat="1" ht="15" hidden="1" customHeight="1" outlineLevel="1" thickBot="1">
      <c r="A90" s="902"/>
      <c r="B90" s="1058"/>
      <c r="C90" s="1052"/>
      <c r="D90" s="1052"/>
      <c r="E90" s="1052"/>
      <c r="F90" s="122"/>
      <c r="G90" s="123"/>
      <c r="H90" s="1052"/>
      <c r="I90" s="1052"/>
      <c r="J90" s="1052"/>
      <c r="K90" s="911"/>
    </row>
    <row r="91" spans="1:11" s="125" customFormat="1" ht="14.25" hidden="1" customHeight="1" outlineLevel="1">
      <c r="A91" s="902"/>
      <c r="B91" s="1053">
        <v>27</v>
      </c>
      <c r="C91" s="1056"/>
      <c r="D91" s="1057"/>
      <c r="E91" s="1056"/>
      <c r="F91" s="118"/>
      <c r="G91" s="119"/>
      <c r="H91" s="1056"/>
      <c r="I91" s="1049"/>
      <c r="J91" s="1049"/>
      <c r="K91" s="911"/>
    </row>
    <row r="92" spans="1:11" s="125" customFormat="1" ht="14.25" hidden="1" customHeight="1" outlineLevel="1">
      <c r="A92" s="902"/>
      <c r="B92" s="1054"/>
      <c r="C92" s="1050"/>
      <c r="D92" s="1050"/>
      <c r="E92" s="1050"/>
      <c r="F92" s="120"/>
      <c r="G92" s="121"/>
      <c r="H92" s="1050"/>
      <c r="I92" s="1050"/>
      <c r="J92" s="1050"/>
      <c r="K92" s="911"/>
    </row>
    <row r="93" spans="1:11" s="125" customFormat="1" ht="15" hidden="1" customHeight="1" outlineLevel="1" thickBot="1">
      <c r="A93" s="902"/>
      <c r="B93" s="1058"/>
      <c r="C93" s="1052"/>
      <c r="D93" s="1052"/>
      <c r="E93" s="1052"/>
      <c r="F93" s="122"/>
      <c r="G93" s="123"/>
      <c r="H93" s="1052"/>
      <c r="I93" s="1052"/>
      <c r="J93" s="1052"/>
      <c r="K93" s="911"/>
    </row>
    <row r="94" spans="1:11" s="125" customFormat="1" ht="14.25" hidden="1" customHeight="1" outlineLevel="1">
      <c r="A94" s="902"/>
      <c r="B94" s="1053">
        <v>28</v>
      </c>
      <c r="C94" s="1056"/>
      <c r="D94" s="1057"/>
      <c r="E94" s="1056"/>
      <c r="F94" s="118"/>
      <c r="G94" s="119"/>
      <c r="H94" s="1056"/>
      <c r="I94" s="1049"/>
      <c r="J94" s="1049"/>
      <c r="K94" s="911"/>
    </row>
    <row r="95" spans="1:11" s="125" customFormat="1" ht="14.25" hidden="1" customHeight="1" outlineLevel="1">
      <c r="A95" s="902"/>
      <c r="B95" s="1054"/>
      <c r="C95" s="1050"/>
      <c r="D95" s="1050"/>
      <c r="E95" s="1050"/>
      <c r="F95" s="120"/>
      <c r="G95" s="121"/>
      <c r="H95" s="1050"/>
      <c r="I95" s="1050"/>
      <c r="J95" s="1050"/>
      <c r="K95" s="911"/>
    </row>
    <row r="96" spans="1:11" s="125" customFormat="1" ht="15" hidden="1" customHeight="1" outlineLevel="1" thickBot="1">
      <c r="A96" s="902"/>
      <c r="B96" s="1058"/>
      <c r="C96" s="1052"/>
      <c r="D96" s="1052"/>
      <c r="E96" s="1052"/>
      <c r="F96" s="122"/>
      <c r="G96" s="123"/>
      <c r="H96" s="1052"/>
      <c r="I96" s="1052"/>
      <c r="J96" s="1052"/>
      <c r="K96" s="911"/>
    </row>
    <row r="97" spans="1:11" s="125" customFormat="1" ht="14.25" hidden="1" customHeight="1" outlineLevel="1">
      <c r="A97" s="902"/>
      <c r="B97" s="1053">
        <v>29</v>
      </c>
      <c r="C97" s="1056"/>
      <c r="D97" s="1057"/>
      <c r="E97" s="1056"/>
      <c r="F97" s="118"/>
      <c r="G97" s="119"/>
      <c r="H97" s="1056"/>
      <c r="I97" s="1049"/>
      <c r="J97" s="1049"/>
      <c r="K97" s="911"/>
    </row>
    <row r="98" spans="1:11" s="125" customFormat="1" ht="14.25" hidden="1" customHeight="1" outlineLevel="1">
      <c r="A98" s="902"/>
      <c r="B98" s="1054"/>
      <c r="C98" s="1050"/>
      <c r="D98" s="1050"/>
      <c r="E98" s="1050"/>
      <c r="F98" s="120"/>
      <c r="G98" s="121"/>
      <c r="H98" s="1050"/>
      <c r="I98" s="1050"/>
      <c r="J98" s="1050"/>
      <c r="K98" s="911"/>
    </row>
    <row r="99" spans="1:11" s="125" customFormat="1" ht="15" hidden="1" customHeight="1" outlineLevel="1" thickBot="1">
      <c r="A99" s="902"/>
      <c r="B99" s="1058"/>
      <c r="C99" s="1052"/>
      <c r="D99" s="1052"/>
      <c r="E99" s="1052"/>
      <c r="F99" s="122"/>
      <c r="G99" s="123"/>
      <c r="H99" s="1052"/>
      <c r="I99" s="1052"/>
      <c r="J99" s="1052"/>
      <c r="K99" s="911"/>
    </row>
    <row r="100" spans="1:11" s="125" customFormat="1" ht="14.25" hidden="1" customHeight="1" outlineLevel="1">
      <c r="A100" s="902"/>
      <c r="B100" s="1053">
        <v>30</v>
      </c>
      <c r="C100" s="1056"/>
      <c r="D100" s="1057"/>
      <c r="E100" s="1056"/>
      <c r="F100" s="118"/>
      <c r="G100" s="119"/>
      <c r="H100" s="1056"/>
      <c r="I100" s="1049"/>
      <c r="J100" s="1049"/>
      <c r="K100" s="911"/>
    </row>
    <row r="101" spans="1:11" s="125" customFormat="1" ht="14.25" hidden="1" customHeight="1" outlineLevel="1">
      <c r="A101" s="902"/>
      <c r="B101" s="1054"/>
      <c r="C101" s="1050"/>
      <c r="D101" s="1050"/>
      <c r="E101" s="1050"/>
      <c r="F101" s="120"/>
      <c r="G101" s="121"/>
      <c r="H101" s="1050"/>
      <c r="I101" s="1050"/>
      <c r="J101" s="1050"/>
      <c r="K101" s="911"/>
    </row>
    <row r="102" spans="1:11" s="125" customFormat="1" ht="15" hidden="1" customHeight="1" outlineLevel="1" thickBot="1">
      <c r="A102" s="902"/>
      <c r="B102" s="1058"/>
      <c r="C102" s="1052"/>
      <c r="D102" s="1052"/>
      <c r="E102" s="1052"/>
      <c r="F102" s="122"/>
      <c r="G102" s="123"/>
      <c r="H102" s="1052"/>
      <c r="I102" s="1052"/>
      <c r="J102" s="1052"/>
      <c r="K102" s="911"/>
    </row>
    <row r="103" spans="1:11" s="125" customFormat="1" ht="14.25" hidden="1" customHeight="1" outlineLevel="1">
      <c r="A103" s="902"/>
      <c r="B103" s="1053">
        <v>31</v>
      </c>
      <c r="C103" s="1056"/>
      <c r="D103" s="1057"/>
      <c r="E103" s="1056"/>
      <c r="F103" s="118"/>
      <c r="G103" s="119"/>
      <c r="H103" s="1056"/>
      <c r="I103" s="1049"/>
      <c r="J103" s="1049"/>
      <c r="K103" s="911"/>
    </row>
    <row r="104" spans="1:11" s="125" customFormat="1" ht="14.25" hidden="1" customHeight="1" outlineLevel="1">
      <c r="A104" s="902"/>
      <c r="B104" s="1054"/>
      <c r="C104" s="1050"/>
      <c r="D104" s="1050"/>
      <c r="E104" s="1050"/>
      <c r="F104" s="120"/>
      <c r="G104" s="121"/>
      <c r="H104" s="1050"/>
      <c r="I104" s="1050"/>
      <c r="J104" s="1050"/>
      <c r="K104" s="911"/>
    </row>
    <row r="105" spans="1:11" s="125" customFormat="1" ht="15" hidden="1" customHeight="1" outlineLevel="1" thickBot="1">
      <c r="A105" s="902"/>
      <c r="B105" s="1058"/>
      <c r="C105" s="1052"/>
      <c r="D105" s="1052"/>
      <c r="E105" s="1052"/>
      <c r="F105" s="122"/>
      <c r="G105" s="123"/>
      <c r="H105" s="1052"/>
      <c r="I105" s="1052"/>
      <c r="J105" s="1052"/>
      <c r="K105" s="911"/>
    </row>
    <row r="106" spans="1:11" s="125" customFormat="1" ht="14.25" hidden="1" customHeight="1" outlineLevel="1">
      <c r="A106" s="902"/>
      <c r="B106" s="1053">
        <v>32</v>
      </c>
      <c r="C106" s="1056"/>
      <c r="D106" s="1057"/>
      <c r="E106" s="1056"/>
      <c r="F106" s="118"/>
      <c r="G106" s="119"/>
      <c r="H106" s="1056"/>
      <c r="I106" s="1049"/>
      <c r="J106" s="1049"/>
      <c r="K106" s="911"/>
    </row>
    <row r="107" spans="1:11" s="125" customFormat="1" ht="14.25" hidden="1" customHeight="1" outlineLevel="1">
      <c r="A107" s="902"/>
      <c r="B107" s="1054"/>
      <c r="C107" s="1050"/>
      <c r="D107" s="1050"/>
      <c r="E107" s="1050"/>
      <c r="F107" s="120"/>
      <c r="G107" s="121"/>
      <c r="H107" s="1050"/>
      <c r="I107" s="1050"/>
      <c r="J107" s="1050"/>
      <c r="K107" s="911"/>
    </row>
    <row r="108" spans="1:11" s="125" customFormat="1" ht="15" hidden="1" customHeight="1" outlineLevel="1" thickBot="1">
      <c r="A108" s="902"/>
      <c r="B108" s="1058"/>
      <c r="C108" s="1052"/>
      <c r="D108" s="1052"/>
      <c r="E108" s="1052"/>
      <c r="F108" s="122"/>
      <c r="G108" s="123"/>
      <c r="H108" s="1052"/>
      <c r="I108" s="1052"/>
      <c r="J108" s="1052"/>
      <c r="K108" s="911"/>
    </row>
    <row r="109" spans="1:11" s="125" customFormat="1" ht="14.25" hidden="1" customHeight="1" outlineLevel="1">
      <c r="A109" s="902"/>
      <c r="B109" s="1053">
        <v>33</v>
      </c>
      <c r="C109" s="1056"/>
      <c r="D109" s="1057"/>
      <c r="E109" s="1056"/>
      <c r="F109" s="118"/>
      <c r="G109" s="119"/>
      <c r="H109" s="1056"/>
      <c r="I109" s="1049"/>
      <c r="J109" s="1049"/>
      <c r="K109" s="911"/>
    </row>
    <row r="110" spans="1:11" s="125" customFormat="1" ht="14.25" hidden="1" customHeight="1" outlineLevel="1">
      <c r="A110" s="902"/>
      <c r="B110" s="1054"/>
      <c r="C110" s="1050"/>
      <c r="D110" s="1050"/>
      <c r="E110" s="1050"/>
      <c r="F110" s="120"/>
      <c r="G110" s="121"/>
      <c r="H110" s="1050"/>
      <c r="I110" s="1050"/>
      <c r="J110" s="1050"/>
      <c r="K110" s="911"/>
    </row>
    <row r="111" spans="1:11" s="125" customFormat="1" ht="15" hidden="1" customHeight="1" outlineLevel="1" thickBot="1">
      <c r="A111" s="902"/>
      <c r="B111" s="1058"/>
      <c r="C111" s="1052"/>
      <c r="D111" s="1052"/>
      <c r="E111" s="1052"/>
      <c r="F111" s="122"/>
      <c r="G111" s="123"/>
      <c r="H111" s="1052"/>
      <c r="I111" s="1052"/>
      <c r="J111" s="1052"/>
      <c r="K111" s="911"/>
    </row>
    <row r="112" spans="1:11" s="125" customFormat="1" ht="14.25" hidden="1" customHeight="1" outlineLevel="1">
      <c r="A112" s="902"/>
      <c r="B112" s="1053">
        <v>34</v>
      </c>
      <c r="C112" s="1056"/>
      <c r="D112" s="1057"/>
      <c r="E112" s="1056"/>
      <c r="F112" s="118"/>
      <c r="G112" s="119"/>
      <c r="H112" s="1056"/>
      <c r="I112" s="1049"/>
      <c r="J112" s="1049"/>
      <c r="K112" s="911"/>
    </row>
    <row r="113" spans="1:11" s="125" customFormat="1" ht="14.25" hidden="1" customHeight="1" outlineLevel="1">
      <c r="A113" s="902"/>
      <c r="B113" s="1054"/>
      <c r="C113" s="1050"/>
      <c r="D113" s="1050"/>
      <c r="E113" s="1050"/>
      <c r="F113" s="120"/>
      <c r="G113" s="121"/>
      <c r="H113" s="1050"/>
      <c r="I113" s="1050"/>
      <c r="J113" s="1050"/>
      <c r="K113" s="911"/>
    </row>
    <row r="114" spans="1:11" s="125" customFormat="1" ht="15" hidden="1" customHeight="1" outlineLevel="1" thickBot="1">
      <c r="A114" s="902"/>
      <c r="B114" s="1058"/>
      <c r="C114" s="1052"/>
      <c r="D114" s="1052"/>
      <c r="E114" s="1052"/>
      <c r="F114" s="122"/>
      <c r="G114" s="123"/>
      <c r="H114" s="1052"/>
      <c r="I114" s="1052"/>
      <c r="J114" s="1052"/>
      <c r="K114" s="911"/>
    </row>
    <row r="115" spans="1:11" s="125" customFormat="1" ht="14.25" hidden="1" customHeight="1" outlineLevel="1">
      <c r="A115" s="902"/>
      <c r="B115" s="1053">
        <v>35</v>
      </c>
      <c r="C115" s="1056"/>
      <c r="D115" s="1057"/>
      <c r="E115" s="1056"/>
      <c r="F115" s="118"/>
      <c r="G115" s="119"/>
      <c r="H115" s="1056"/>
      <c r="I115" s="1049"/>
      <c r="J115" s="1049"/>
      <c r="K115" s="911"/>
    </row>
    <row r="116" spans="1:11" s="125" customFormat="1" ht="14.25" hidden="1" customHeight="1" outlineLevel="1">
      <c r="A116" s="902"/>
      <c r="B116" s="1054"/>
      <c r="C116" s="1050"/>
      <c r="D116" s="1050"/>
      <c r="E116" s="1050"/>
      <c r="F116" s="120"/>
      <c r="G116" s="121"/>
      <c r="H116" s="1050"/>
      <c r="I116" s="1050"/>
      <c r="J116" s="1050"/>
      <c r="K116" s="911"/>
    </row>
    <row r="117" spans="1:11" s="125" customFormat="1" ht="15" hidden="1" customHeight="1" outlineLevel="1" thickBot="1">
      <c r="A117" s="902"/>
      <c r="B117" s="1058"/>
      <c r="C117" s="1052"/>
      <c r="D117" s="1052"/>
      <c r="E117" s="1052"/>
      <c r="F117" s="122"/>
      <c r="G117" s="123"/>
      <c r="H117" s="1052"/>
      <c r="I117" s="1052"/>
      <c r="J117" s="1052"/>
      <c r="K117" s="911"/>
    </row>
    <row r="118" spans="1:11" s="125" customFormat="1" ht="14.25" hidden="1" customHeight="1" outlineLevel="1">
      <c r="A118" s="902"/>
      <c r="B118" s="1053">
        <v>36</v>
      </c>
      <c r="C118" s="1056"/>
      <c r="D118" s="1057"/>
      <c r="E118" s="1056"/>
      <c r="F118" s="118"/>
      <c r="G118" s="119"/>
      <c r="H118" s="1056"/>
      <c r="I118" s="1049"/>
      <c r="J118" s="1049"/>
      <c r="K118" s="911"/>
    </row>
    <row r="119" spans="1:11" s="125" customFormat="1" ht="14.25" hidden="1" customHeight="1" outlineLevel="1">
      <c r="A119" s="902"/>
      <c r="B119" s="1054"/>
      <c r="C119" s="1050"/>
      <c r="D119" s="1050"/>
      <c r="E119" s="1050"/>
      <c r="F119" s="120"/>
      <c r="G119" s="121"/>
      <c r="H119" s="1050"/>
      <c r="I119" s="1050"/>
      <c r="J119" s="1050"/>
      <c r="K119" s="911"/>
    </row>
    <row r="120" spans="1:11" s="125" customFormat="1" ht="15" hidden="1" customHeight="1" outlineLevel="1" thickBot="1">
      <c r="A120" s="902"/>
      <c r="B120" s="1058"/>
      <c r="C120" s="1052"/>
      <c r="D120" s="1052"/>
      <c r="E120" s="1052"/>
      <c r="F120" s="122"/>
      <c r="G120" s="123"/>
      <c r="H120" s="1052"/>
      <c r="I120" s="1052"/>
      <c r="J120" s="1052"/>
      <c r="K120" s="911"/>
    </row>
    <row r="121" spans="1:11" s="125" customFormat="1" ht="14.25" hidden="1" customHeight="1" outlineLevel="1">
      <c r="A121" s="902"/>
      <c r="B121" s="1053">
        <v>37</v>
      </c>
      <c r="C121" s="1056"/>
      <c r="D121" s="1057"/>
      <c r="E121" s="1056"/>
      <c r="F121" s="118"/>
      <c r="G121" s="119"/>
      <c r="H121" s="1056"/>
      <c r="I121" s="1049"/>
      <c r="J121" s="1049"/>
      <c r="K121" s="911"/>
    </row>
    <row r="122" spans="1:11" s="125" customFormat="1" ht="14.25" hidden="1" customHeight="1" outlineLevel="1">
      <c r="A122" s="902"/>
      <c r="B122" s="1054"/>
      <c r="C122" s="1050"/>
      <c r="D122" s="1050"/>
      <c r="E122" s="1050"/>
      <c r="F122" s="120"/>
      <c r="G122" s="121"/>
      <c r="H122" s="1050"/>
      <c r="I122" s="1050"/>
      <c r="J122" s="1050"/>
      <c r="K122" s="911"/>
    </row>
    <row r="123" spans="1:11" s="125" customFormat="1" ht="15" hidden="1" customHeight="1" outlineLevel="1" thickBot="1">
      <c r="A123" s="902"/>
      <c r="B123" s="1058"/>
      <c r="C123" s="1052"/>
      <c r="D123" s="1052"/>
      <c r="E123" s="1052"/>
      <c r="F123" s="122"/>
      <c r="G123" s="123"/>
      <c r="H123" s="1052"/>
      <c r="I123" s="1052"/>
      <c r="J123" s="1052"/>
      <c r="K123" s="911"/>
    </row>
    <row r="124" spans="1:11" s="125" customFormat="1" ht="14.25" hidden="1" customHeight="1" outlineLevel="1">
      <c r="A124" s="902"/>
      <c r="B124" s="1053">
        <v>38</v>
      </c>
      <c r="C124" s="1056"/>
      <c r="D124" s="1057"/>
      <c r="E124" s="1056"/>
      <c r="F124" s="118"/>
      <c r="G124" s="119"/>
      <c r="H124" s="1056"/>
      <c r="I124" s="1049"/>
      <c r="J124" s="1049"/>
      <c r="K124" s="911"/>
    </row>
    <row r="125" spans="1:11" s="125" customFormat="1" ht="14.25" hidden="1" customHeight="1" outlineLevel="1">
      <c r="A125" s="902"/>
      <c r="B125" s="1054"/>
      <c r="C125" s="1050"/>
      <c r="D125" s="1050"/>
      <c r="E125" s="1050"/>
      <c r="F125" s="120"/>
      <c r="G125" s="121"/>
      <c r="H125" s="1050"/>
      <c r="I125" s="1050"/>
      <c r="J125" s="1050"/>
      <c r="K125" s="911"/>
    </row>
    <row r="126" spans="1:11" s="125" customFormat="1" ht="15" hidden="1" customHeight="1" outlineLevel="1" thickBot="1">
      <c r="A126" s="902"/>
      <c r="B126" s="1058"/>
      <c r="C126" s="1052"/>
      <c r="D126" s="1052"/>
      <c r="E126" s="1052"/>
      <c r="F126" s="122"/>
      <c r="G126" s="123"/>
      <c r="H126" s="1052"/>
      <c r="I126" s="1052"/>
      <c r="J126" s="1052"/>
      <c r="K126" s="911"/>
    </row>
    <row r="127" spans="1:11" s="125" customFormat="1" ht="14.25" hidden="1" customHeight="1" outlineLevel="1">
      <c r="A127" s="902"/>
      <c r="B127" s="1053">
        <v>39</v>
      </c>
      <c r="C127" s="1056"/>
      <c r="D127" s="1057"/>
      <c r="E127" s="1056"/>
      <c r="F127" s="118"/>
      <c r="G127" s="119"/>
      <c r="H127" s="1056"/>
      <c r="I127" s="1049"/>
      <c r="J127" s="1049"/>
      <c r="K127" s="911"/>
    </row>
    <row r="128" spans="1:11" s="125" customFormat="1" ht="14.25" hidden="1" customHeight="1" outlineLevel="1">
      <c r="A128" s="902"/>
      <c r="B128" s="1054"/>
      <c r="C128" s="1050"/>
      <c r="D128" s="1050"/>
      <c r="E128" s="1050"/>
      <c r="F128" s="120"/>
      <c r="G128" s="121"/>
      <c r="H128" s="1050"/>
      <c r="I128" s="1050"/>
      <c r="J128" s="1050"/>
      <c r="K128" s="911"/>
    </row>
    <row r="129" spans="1:11" s="125" customFormat="1" ht="15" hidden="1" customHeight="1" outlineLevel="1" thickBot="1">
      <c r="A129" s="902"/>
      <c r="B129" s="1058"/>
      <c r="C129" s="1052"/>
      <c r="D129" s="1052"/>
      <c r="E129" s="1052"/>
      <c r="F129" s="122"/>
      <c r="G129" s="123"/>
      <c r="H129" s="1052"/>
      <c r="I129" s="1052"/>
      <c r="J129" s="1052"/>
      <c r="K129" s="911"/>
    </row>
    <row r="130" spans="1:11" s="125" customFormat="1" ht="14.25" hidden="1" customHeight="1" outlineLevel="1">
      <c r="A130" s="902"/>
      <c r="B130" s="1053">
        <v>40</v>
      </c>
      <c r="C130" s="1056"/>
      <c r="D130" s="1057"/>
      <c r="E130" s="1056"/>
      <c r="F130" s="118"/>
      <c r="G130" s="119"/>
      <c r="H130" s="1056"/>
      <c r="I130" s="1049"/>
      <c r="J130" s="1049"/>
      <c r="K130" s="911"/>
    </row>
    <row r="131" spans="1:11" s="125" customFormat="1" ht="14.25" hidden="1" customHeight="1" outlineLevel="1">
      <c r="A131" s="902"/>
      <c r="B131" s="1054"/>
      <c r="C131" s="1050"/>
      <c r="D131" s="1050"/>
      <c r="E131" s="1050"/>
      <c r="F131" s="120"/>
      <c r="G131" s="121"/>
      <c r="H131" s="1050"/>
      <c r="I131" s="1050"/>
      <c r="J131" s="1050"/>
      <c r="K131" s="911"/>
    </row>
    <row r="132" spans="1:11" s="125" customFormat="1" ht="15" hidden="1" customHeight="1" outlineLevel="1" thickBot="1">
      <c r="A132" s="902"/>
      <c r="B132" s="1058"/>
      <c r="C132" s="1052"/>
      <c r="D132" s="1052"/>
      <c r="E132" s="1052"/>
      <c r="F132" s="122"/>
      <c r="G132" s="123"/>
      <c r="H132" s="1052"/>
      <c r="I132" s="1052"/>
      <c r="J132" s="1052"/>
      <c r="K132" s="911"/>
    </row>
    <row r="133" spans="1:11" s="125" customFormat="1" ht="14.25" hidden="1" customHeight="1" outlineLevel="1">
      <c r="A133" s="902"/>
      <c r="B133" s="1053">
        <v>41</v>
      </c>
      <c r="C133" s="1056"/>
      <c r="D133" s="1057"/>
      <c r="E133" s="1056"/>
      <c r="F133" s="118"/>
      <c r="G133" s="119"/>
      <c r="H133" s="1056"/>
      <c r="I133" s="1049"/>
      <c r="J133" s="1049"/>
      <c r="K133" s="911"/>
    </row>
    <row r="134" spans="1:11" s="125" customFormat="1" ht="14.25" hidden="1" customHeight="1" outlineLevel="1">
      <c r="A134" s="902"/>
      <c r="B134" s="1054"/>
      <c r="C134" s="1050"/>
      <c r="D134" s="1050"/>
      <c r="E134" s="1050"/>
      <c r="F134" s="120"/>
      <c r="G134" s="121"/>
      <c r="H134" s="1050"/>
      <c r="I134" s="1050"/>
      <c r="J134" s="1050"/>
      <c r="K134" s="911"/>
    </row>
    <row r="135" spans="1:11" s="125" customFormat="1" ht="15" hidden="1" customHeight="1" outlineLevel="1" thickBot="1">
      <c r="A135" s="902"/>
      <c r="B135" s="1058"/>
      <c r="C135" s="1052"/>
      <c r="D135" s="1052"/>
      <c r="E135" s="1052"/>
      <c r="F135" s="122"/>
      <c r="G135" s="123"/>
      <c r="H135" s="1052"/>
      <c r="I135" s="1052"/>
      <c r="J135" s="1052"/>
      <c r="K135" s="911"/>
    </row>
    <row r="136" spans="1:11" s="125" customFormat="1" ht="14.25" hidden="1" customHeight="1" outlineLevel="1">
      <c r="A136" s="902"/>
      <c r="B136" s="1053">
        <v>42</v>
      </c>
      <c r="C136" s="1056"/>
      <c r="D136" s="1057"/>
      <c r="E136" s="1056"/>
      <c r="F136" s="118"/>
      <c r="G136" s="119"/>
      <c r="H136" s="1056"/>
      <c r="I136" s="1049"/>
      <c r="J136" s="1049"/>
      <c r="K136" s="911"/>
    </row>
    <row r="137" spans="1:11" s="125" customFormat="1" ht="14.25" hidden="1" customHeight="1" outlineLevel="1">
      <c r="A137" s="902"/>
      <c r="B137" s="1054"/>
      <c r="C137" s="1050"/>
      <c r="D137" s="1050"/>
      <c r="E137" s="1050"/>
      <c r="F137" s="120"/>
      <c r="G137" s="121"/>
      <c r="H137" s="1050"/>
      <c r="I137" s="1050"/>
      <c r="J137" s="1050"/>
      <c r="K137" s="911"/>
    </row>
    <row r="138" spans="1:11" s="125" customFormat="1" ht="15" hidden="1" customHeight="1" outlineLevel="1" thickBot="1">
      <c r="A138" s="902"/>
      <c r="B138" s="1058"/>
      <c r="C138" s="1052"/>
      <c r="D138" s="1052"/>
      <c r="E138" s="1052"/>
      <c r="F138" s="122"/>
      <c r="G138" s="123"/>
      <c r="H138" s="1052"/>
      <c r="I138" s="1052"/>
      <c r="J138" s="1052"/>
      <c r="K138" s="911"/>
    </row>
    <row r="139" spans="1:11" s="125" customFormat="1" ht="14.25" hidden="1" customHeight="1" outlineLevel="1">
      <c r="A139" s="902"/>
      <c r="B139" s="1053">
        <v>43</v>
      </c>
      <c r="C139" s="1056"/>
      <c r="D139" s="1057"/>
      <c r="E139" s="1056"/>
      <c r="F139" s="118"/>
      <c r="G139" s="119"/>
      <c r="H139" s="1056"/>
      <c r="I139" s="1049"/>
      <c r="J139" s="1049"/>
      <c r="K139" s="911"/>
    </row>
    <row r="140" spans="1:11" s="125" customFormat="1" ht="14.25" hidden="1" customHeight="1" outlineLevel="1">
      <c r="A140" s="902"/>
      <c r="B140" s="1054"/>
      <c r="C140" s="1050"/>
      <c r="D140" s="1050"/>
      <c r="E140" s="1050"/>
      <c r="F140" s="120"/>
      <c r="G140" s="121"/>
      <c r="H140" s="1050"/>
      <c r="I140" s="1050"/>
      <c r="J140" s="1050"/>
      <c r="K140" s="911"/>
    </row>
    <row r="141" spans="1:11" s="125" customFormat="1" ht="15" hidden="1" customHeight="1" outlineLevel="1" thickBot="1">
      <c r="A141" s="902"/>
      <c r="B141" s="1058"/>
      <c r="C141" s="1052"/>
      <c r="D141" s="1052"/>
      <c r="E141" s="1052"/>
      <c r="F141" s="122"/>
      <c r="G141" s="123"/>
      <c r="H141" s="1052"/>
      <c r="I141" s="1052"/>
      <c r="J141" s="1052"/>
      <c r="K141" s="911"/>
    </row>
    <row r="142" spans="1:11" s="125" customFormat="1" ht="14.25" hidden="1" customHeight="1" outlineLevel="1">
      <c r="A142" s="902"/>
      <c r="B142" s="1053">
        <v>44</v>
      </c>
      <c r="C142" s="1056"/>
      <c r="D142" s="1057"/>
      <c r="E142" s="1056"/>
      <c r="F142" s="118"/>
      <c r="G142" s="119"/>
      <c r="H142" s="1056"/>
      <c r="I142" s="1049"/>
      <c r="J142" s="1049"/>
      <c r="K142" s="911"/>
    </row>
    <row r="143" spans="1:11" s="125" customFormat="1" ht="14.25" hidden="1" customHeight="1" outlineLevel="1">
      <c r="A143" s="902"/>
      <c r="B143" s="1054"/>
      <c r="C143" s="1050"/>
      <c r="D143" s="1050"/>
      <c r="E143" s="1050"/>
      <c r="F143" s="120"/>
      <c r="G143" s="121"/>
      <c r="H143" s="1050"/>
      <c r="I143" s="1050"/>
      <c r="J143" s="1050"/>
      <c r="K143" s="911"/>
    </row>
    <row r="144" spans="1:11" s="125" customFormat="1" ht="15" hidden="1" customHeight="1" outlineLevel="1" thickBot="1">
      <c r="A144" s="902"/>
      <c r="B144" s="1058"/>
      <c r="C144" s="1052"/>
      <c r="D144" s="1052"/>
      <c r="E144" s="1052"/>
      <c r="F144" s="122"/>
      <c r="G144" s="123"/>
      <c r="H144" s="1052"/>
      <c r="I144" s="1052"/>
      <c r="J144" s="1052"/>
      <c r="K144" s="911"/>
    </row>
    <row r="145" spans="1:11" s="125" customFormat="1" ht="14.25" hidden="1" customHeight="1" outlineLevel="1">
      <c r="A145" s="902"/>
      <c r="B145" s="1053">
        <v>45</v>
      </c>
      <c r="C145" s="1056"/>
      <c r="D145" s="1057"/>
      <c r="E145" s="1056"/>
      <c r="F145" s="118"/>
      <c r="G145" s="119"/>
      <c r="H145" s="1056"/>
      <c r="I145" s="1049"/>
      <c r="J145" s="1049"/>
      <c r="K145" s="911"/>
    </row>
    <row r="146" spans="1:11" s="125" customFormat="1" ht="14.25" hidden="1" customHeight="1" outlineLevel="1">
      <c r="A146" s="902"/>
      <c r="B146" s="1054"/>
      <c r="C146" s="1050"/>
      <c r="D146" s="1050"/>
      <c r="E146" s="1050"/>
      <c r="F146" s="120"/>
      <c r="G146" s="121"/>
      <c r="H146" s="1050"/>
      <c r="I146" s="1050"/>
      <c r="J146" s="1050"/>
      <c r="K146" s="911"/>
    </row>
    <row r="147" spans="1:11" s="125" customFormat="1" ht="15" hidden="1" customHeight="1" outlineLevel="1" thickBot="1">
      <c r="A147" s="902"/>
      <c r="B147" s="1058"/>
      <c r="C147" s="1052"/>
      <c r="D147" s="1052"/>
      <c r="E147" s="1052"/>
      <c r="F147" s="122"/>
      <c r="G147" s="123"/>
      <c r="H147" s="1052"/>
      <c r="I147" s="1052"/>
      <c r="J147" s="1052"/>
      <c r="K147" s="911"/>
    </row>
    <row r="148" spans="1:11" s="125" customFormat="1" ht="14.25" hidden="1" customHeight="1" outlineLevel="1">
      <c r="A148" s="902"/>
      <c r="B148" s="1053">
        <v>46</v>
      </c>
      <c r="C148" s="1056"/>
      <c r="D148" s="1057"/>
      <c r="E148" s="1056"/>
      <c r="F148" s="118"/>
      <c r="G148" s="119"/>
      <c r="H148" s="1056"/>
      <c r="I148" s="1049"/>
      <c r="J148" s="1049"/>
      <c r="K148" s="911"/>
    </row>
    <row r="149" spans="1:11" s="125" customFormat="1" ht="14.25" hidden="1" customHeight="1" outlineLevel="1">
      <c r="A149" s="902"/>
      <c r="B149" s="1054"/>
      <c r="C149" s="1050"/>
      <c r="D149" s="1050"/>
      <c r="E149" s="1050"/>
      <c r="F149" s="120"/>
      <c r="G149" s="121"/>
      <c r="H149" s="1050"/>
      <c r="I149" s="1050"/>
      <c r="J149" s="1050"/>
      <c r="K149" s="911"/>
    </row>
    <row r="150" spans="1:11" s="125" customFormat="1" ht="15" hidden="1" customHeight="1" outlineLevel="1" thickBot="1">
      <c r="A150" s="902"/>
      <c r="B150" s="1058"/>
      <c r="C150" s="1052"/>
      <c r="D150" s="1052"/>
      <c r="E150" s="1052"/>
      <c r="F150" s="122"/>
      <c r="G150" s="123"/>
      <c r="H150" s="1052"/>
      <c r="I150" s="1052"/>
      <c r="J150" s="1052"/>
      <c r="K150" s="911"/>
    </row>
    <row r="151" spans="1:11" s="125" customFormat="1" ht="14.25" hidden="1" customHeight="1" outlineLevel="1">
      <c r="A151" s="902"/>
      <c r="B151" s="1053">
        <v>47</v>
      </c>
      <c r="C151" s="1056"/>
      <c r="D151" s="1057"/>
      <c r="E151" s="1056"/>
      <c r="F151" s="118"/>
      <c r="G151" s="119"/>
      <c r="H151" s="1056"/>
      <c r="I151" s="1049"/>
      <c r="J151" s="1049"/>
      <c r="K151" s="911"/>
    </row>
    <row r="152" spans="1:11" s="125" customFormat="1" ht="14.25" hidden="1" customHeight="1" outlineLevel="1">
      <c r="A152" s="902"/>
      <c r="B152" s="1054"/>
      <c r="C152" s="1050"/>
      <c r="D152" s="1050"/>
      <c r="E152" s="1050"/>
      <c r="F152" s="120"/>
      <c r="G152" s="121"/>
      <c r="H152" s="1050"/>
      <c r="I152" s="1050"/>
      <c r="J152" s="1050"/>
      <c r="K152" s="911"/>
    </row>
    <row r="153" spans="1:11" s="125" customFormat="1" ht="15" hidden="1" customHeight="1" outlineLevel="1" thickBot="1">
      <c r="A153" s="902"/>
      <c r="B153" s="1058"/>
      <c r="C153" s="1052"/>
      <c r="D153" s="1052"/>
      <c r="E153" s="1052"/>
      <c r="F153" s="122"/>
      <c r="G153" s="123"/>
      <c r="H153" s="1052"/>
      <c r="I153" s="1052"/>
      <c r="J153" s="1052"/>
      <c r="K153" s="911"/>
    </row>
    <row r="154" spans="1:11" s="125" customFormat="1" ht="14.25" hidden="1" customHeight="1" outlineLevel="1">
      <c r="A154" s="902"/>
      <c r="B154" s="1053">
        <v>48</v>
      </c>
      <c r="C154" s="1056"/>
      <c r="D154" s="1057"/>
      <c r="E154" s="1056"/>
      <c r="F154" s="118"/>
      <c r="G154" s="119"/>
      <c r="H154" s="1056"/>
      <c r="I154" s="1049"/>
      <c r="J154" s="1049"/>
      <c r="K154" s="911"/>
    </row>
    <row r="155" spans="1:11" s="125" customFormat="1" ht="14.25" hidden="1" customHeight="1" outlineLevel="1">
      <c r="A155" s="902"/>
      <c r="B155" s="1054"/>
      <c r="C155" s="1050"/>
      <c r="D155" s="1050"/>
      <c r="E155" s="1050"/>
      <c r="F155" s="120"/>
      <c r="G155" s="121"/>
      <c r="H155" s="1050"/>
      <c r="I155" s="1050"/>
      <c r="J155" s="1050"/>
      <c r="K155" s="911"/>
    </row>
    <row r="156" spans="1:11" s="125" customFormat="1" ht="15" hidden="1" customHeight="1" outlineLevel="1" thickBot="1">
      <c r="A156" s="902"/>
      <c r="B156" s="1058"/>
      <c r="C156" s="1052"/>
      <c r="D156" s="1052"/>
      <c r="E156" s="1052"/>
      <c r="F156" s="122"/>
      <c r="G156" s="123"/>
      <c r="H156" s="1052"/>
      <c r="I156" s="1052"/>
      <c r="J156" s="1052"/>
      <c r="K156" s="911"/>
    </row>
    <row r="157" spans="1:11" s="125" customFormat="1" ht="14.25" hidden="1" customHeight="1" outlineLevel="1">
      <c r="A157" s="902"/>
      <c r="B157" s="1053">
        <v>49</v>
      </c>
      <c r="C157" s="1056"/>
      <c r="D157" s="1057"/>
      <c r="E157" s="1056"/>
      <c r="F157" s="118"/>
      <c r="G157" s="119"/>
      <c r="H157" s="1056"/>
      <c r="I157" s="1049"/>
      <c r="J157" s="1049"/>
      <c r="K157" s="911"/>
    </row>
    <row r="158" spans="1:11" s="125" customFormat="1" ht="14.25" hidden="1" customHeight="1" outlineLevel="1">
      <c r="A158" s="902"/>
      <c r="B158" s="1054"/>
      <c r="C158" s="1050"/>
      <c r="D158" s="1050"/>
      <c r="E158" s="1050"/>
      <c r="F158" s="120"/>
      <c r="G158" s="121"/>
      <c r="H158" s="1050"/>
      <c r="I158" s="1050"/>
      <c r="J158" s="1050"/>
      <c r="K158" s="911"/>
    </row>
    <row r="159" spans="1:11" s="125" customFormat="1" ht="15" hidden="1" customHeight="1" outlineLevel="1" thickBot="1">
      <c r="A159" s="902"/>
      <c r="B159" s="1058"/>
      <c r="C159" s="1052"/>
      <c r="D159" s="1052"/>
      <c r="E159" s="1052"/>
      <c r="F159" s="122"/>
      <c r="G159" s="123"/>
      <c r="H159" s="1052"/>
      <c r="I159" s="1052"/>
      <c r="J159" s="1052"/>
      <c r="K159" s="911"/>
    </row>
    <row r="160" spans="1:11" s="125" customFormat="1" ht="14.25" hidden="1" customHeight="1" outlineLevel="1">
      <c r="A160" s="902"/>
      <c r="B160" s="1053">
        <v>50</v>
      </c>
      <c r="C160" s="1056"/>
      <c r="D160" s="1057"/>
      <c r="E160" s="1056"/>
      <c r="F160" s="118"/>
      <c r="G160" s="119"/>
      <c r="H160" s="1056"/>
      <c r="I160" s="1049"/>
      <c r="J160" s="1049"/>
      <c r="K160" s="911"/>
    </row>
    <row r="161" spans="1:11" s="125" customFormat="1" ht="14.25" hidden="1" customHeight="1" outlineLevel="1">
      <c r="A161" s="902"/>
      <c r="B161" s="1054"/>
      <c r="C161" s="1050"/>
      <c r="D161" s="1050"/>
      <c r="E161" s="1050"/>
      <c r="F161" s="120"/>
      <c r="G161" s="121"/>
      <c r="H161" s="1050"/>
      <c r="I161" s="1050"/>
      <c r="J161" s="1050"/>
      <c r="K161" s="911"/>
    </row>
    <row r="162" spans="1:11" s="125" customFormat="1" ht="15" hidden="1" customHeight="1" outlineLevel="1" thickBot="1">
      <c r="A162" s="902"/>
      <c r="B162" s="1058"/>
      <c r="C162" s="1052"/>
      <c r="D162" s="1052"/>
      <c r="E162" s="1052"/>
      <c r="F162" s="122"/>
      <c r="G162" s="123"/>
      <c r="H162" s="1052"/>
      <c r="I162" s="1052"/>
      <c r="J162" s="1052"/>
      <c r="K162" s="911"/>
    </row>
    <row r="163" spans="1:11" s="125" customFormat="1" ht="14.25" hidden="1" customHeight="1" outlineLevel="1">
      <c r="A163" s="902"/>
      <c r="B163" s="1053">
        <v>51</v>
      </c>
      <c r="C163" s="1056"/>
      <c r="D163" s="1057"/>
      <c r="E163" s="1056"/>
      <c r="F163" s="118"/>
      <c r="G163" s="119"/>
      <c r="H163" s="1056"/>
      <c r="I163" s="1049"/>
      <c r="J163" s="1049"/>
      <c r="K163" s="911"/>
    </row>
    <row r="164" spans="1:11" s="125" customFormat="1" ht="14.25" hidden="1" customHeight="1" outlineLevel="1">
      <c r="A164" s="902"/>
      <c r="B164" s="1054"/>
      <c r="C164" s="1050"/>
      <c r="D164" s="1050"/>
      <c r="E164" s="1050"/>
      <c r="F164" s="120"/>
      <c r="G164" s="121"/>
      <c r="H164" s="1050"/>
      <c r="I164" s="1050"/>
      <c r="J164" s="1050"/>
      <c r="K164" s="911"/>
    </row>
    <row r="165" spans="1:11" s="125" customFormat="1" ht="15" hidden="1" customHeight="1" outlineLevel="1" thickBot="1">
      <c r="A165" s="902"/>
      <c r="B165" s="1058"/>
      <c r="C165" s="1052"/>
      <c r="D165" s="1052"/>
      <c r="E165" s="1052"/>
      <c r="F165" s="122"/>
      <c r="G165" s="123"/>
      <c r="H165" s="1052"/>
      <c r="I165" s="1052"/>
      <c r="J165" s="1052"/>
      <c r="K165" s="911"/>
    </row>
    <row r="166" spans="1:11" s="125" customFormat="1" ht="14.25" hidden="1" customHeight="1" outlineLevel="1">
      <c r="A166" s="902"/>
      <c r="B166" s="1053">
        <v>52</v>
      </c>
      <c r="C166" s="1056"/>
      <c r="D166" s="1057"/>
      <c r="E166" s="1056"/>
      <c r="F166" s="118"/>
      <c r="G166" s="119"/>
      <c r="H166" s="1056"/>
      <c r="I166" s="1049"/>
      <c r="J166" s="1049"/>
      <c r="K166" s="911"/>
    </row>
    <row r="167" spans="1:11" s="125" customFormat="1" ht="14.25" hidden="1" customHeight="1" outlineLevel="1">
      <c r="A167" s="902"/>
      <c r="B167" s="1054"/>
      <c r="C167" s="1050"/>
      <c r="D167" s="1050"/>
      <c r="E167" s="1050"/>
      <c r="F167" s="120"/>
      <c r="G167" s="121"/>
      <c r="H167" s="1050"/>
      <c r="I167" s="1050"/>
      <c r="J167" s="1050"/>
      <c r="K167" s="911"/>
    </row>
    <row r="168" spans="1:11" s="125" customFormat="1" ht="15" hidden="1" customHeight="1" outlineLevel="1" thickBot="1">
      <c r="A168" s="902"/>
      <c r="B168" s="1058"/>
      <c r="C168" s="1052"/>
      <c r="D168" s="1052"/>
      <c r="E168" s="1052"/>
      <c r="F168" s="122"/>
      <c r="G168" s="123"/>
      <c r="H168" s="1052"/>
      <c r="I168" s="1052"/>
      <c r="J168" s="1052"/>
      <c r="K168" s="911"/>
    </row>
    <row r="169" spans="1:11" s="125" customFormat="1" ht="14.25" hidden="1" customHeight="1" outlineLevel="1">
      <c r="A169" s="902"/>
      <c r="B169" s="1053">
        <v>53</v>
      </c>
      <c r="C169" s="1056"/>
      <c r="D169" s="1057"/>
      <c r="E169" s="1056"/>
      <c r="F169" s="118"/>
      <c r="G169" s="119"/>
      <c r="H169" s="1056"/>
      <c r="I169" s="1049"/>
      <c r="J169" s="1049"/>
      <c r="K169" s="911"/>
    </row>
    <row r="170" spans="1:11" s="125" customFormat="1" ht="14.25" hidden="1" customHeight="1" outlineLevel="1">
      <c r="A170" s="902"/>
      <c r="B170" s="1054"/>
      <c r="C170" s="1050"/>
      <c r="D170" s="1050"/>
      <c r="E170" s="1050"/>
      <c r="F170" s="120"/>
      <c r="G170" s="121"/>
      <c r="H170" s="1050"/>
      <c r="I170" s="1050"/>
      <c r="J170" s="1050"/>
      <c r="K170" s="911"/>
    </row>
    <row r="171" spans="1:11" s="125" customFormat="1" ht="15" hidden="1" customHeight="1" outlineLevel="1" thickBot="1">
      <c r="A171" s="902"/>
      <c r="B171" s="1058"/>
      <c r="C171" s="1052"/>
      <c r="D171" s="1052"/>
      <c r="E171" s="1052"/>
      <c r="F171" s="122"/>
      <c r="G171" s="123"/>
      <c r="H171" s="1052"/>
      <c r="I171" s="1052"/>
      <c r="J171" s="1052"/>
      <c r="K171" s="911"/>
    </row>
    <row r="172" spans="1:11" s="125" customFormat="1" ht="14.25" hidden="1" customHeight="1" outlineLevel="1">
      <c r="A172" s="902"/>
      <c r="B172" s="1053">
        <v>54</v>
      </c>
      <c r="C172" s="1056"/>
      <c r="D172" s="1057"/>
      <c r="E172" s="1056"/>
      <c r="F172" s="118"/>
      <c r="G172" s="119"/>
      <c r="H172" s="1056"/>
      <c r="I172" s="1049"/>
      <c r="J172" s="1049"/>
      <c r="K172" s="911"/>
    </row>
    <row r="173" spans="1:11" s="125" customFormat="1" ht="14.25" hidden="1" customHeight="1" outlineLevel="1">
      <c r="A173" s="902"/>
      <c r="B173" s="1054"/>
      <c r="C173" s="1050"/>
      <c r="D173" s="1050"/>
      <c r="E173" s="1050"/>
      <c r="F173" s="120"/>
      <c r="G173" s="121"/>
      <c r="H173" s="1050"/>
      <c r="I173" s="1050"/>
      <c r="J173" s="1050"/>
      <c r="K173" s="911"/>
    </row>
    <row r="174" spans="1:11" s="125" customFormat="1" ht="15" hidden="1" customHeight="1" outlineLevel="1" thickBot="1">
      <c r="A174" s="902"/>
      <c r="B174" s="1058"/>
      <c r="C174" s="1052"/>
      <c r="D174" s="1052"/>
      <c r="E174" s="1052"/>
      <c r="F174" s="122"/>
      <c r="G174" s="123"/>
      <c r="H174" s="1052"/>
      <c r="I174" s="1052"/>
      <c r="J174" s="1052"/>
      <c r="K174" s="911"/>
    </row>
    <row r="175" spans="1:11" s="125" customFormat="1" ht="14.25" hidden="1" customHeight="1" outlineLevel="1">
      <c r="A175" s="902"/>
      <c r="B175" s="1053">
        <v>55</v>
      </c>
      <c r="C175" s="1056"/>
      <c r="D175" s="1057"/>
      <c r="E175" s="1056"/>
      <c r="F175" s="118"/>
      <c r="G175" s="119"/>
      <c r="H175" s="1056"/>
      <c r="I175" s="1049"/>
      <c r="J175" s="1049"/>
      <c r="K175" s="911"/>
    </row>
    <row r="176" spans="1:11" s="125" customFormat="1" ht="14.25" hidden="1" customHeight="1" outlineLevel="1">
      <c r="A176" s="902"/>
      <c r="B176" s="1054"/>
      <c r="C176" s="1050"/>
      <c r="D176" s="1050"/>
      <c r="E176" s="1050"/>
      <c r="F176" s="120"/>
      <c r="G176" s="121"/>
      <c r="H176" s="1050"/>
      <c r="I176" s="1050"/>
      <c r="J176" s="1050"/>
      <c r="K176" s="911"/>
    </row>
    <row r="177" spans="1:11" s="125" customFormat="1" ht="15" hidden="1" customHeight="1" outlineLevel="1" thickBot="1">
      <c r="A177" s="902"/>
      <c r="B177" s="1058"/>
      <c r="C177" s="1052"/>
      <c r="D177" s="1052"/>
      <c r="E177" s="1052"/>
      <c r="F177" s="122"/>
      <c r="G177" s="123"/>
      <c r="H177" s="1052"/>
      <c r="I177" s="1052"/>
      <c r="J177" s="1052"/>
      <c r="K177" s="911"/>
    </row>
    <row r="178" spans="1:11" s="125" customFormat="1" ht="14.25" hidden="1" customHeight="1" outlineLevel="1">
      <c r="A178" s="902"/>
      <c r="B178" s="1053">
        <v>56</v>
      </c>
      <c r="C178" s="1056"/>
      <c r="D178" s="1057"/>
      <c r="E178" s="1056"/>
      <c r="F178" s="118"/>
      <c r="G178" s="119"/>
      <c r="H178" s="1056"/>
      <c r="I178" s="1049"/>
      <c r="J178" s="1049"/>
      <c r="K178" s="911"/>
    </row>
    <row r="179" spans="1:11" s="125" customFormat="1" ht="14.25" hidden="1" customHeight="1" outlineLevel="1">
      <c r="A179" s="902"/>
      <c r="B179" s="1054"/>
      <c r="C179" s="1050"/>
      <c r="D179" s="1050"/>
      <c r="E179" s="1050"/>
      <c r="F179" s="120"/>
      <c r="G179" s="121"/>
      <c r="H179" s="1050"/>
      <c r="I179" s="1050"/>
      <c r="J179" s="1050"/>
      <c r="K179" s="911"/>
    </row>
    <row r="180" spans="1:11" s="125" customFormat="1" ht="15" hidden="1" customHeight="1" outlineLevel="1" thickBot="1">
      <c r="A180" s="902"/>
      <c r="B180" s="1058"/>
      <c r="C180" s="1052"/>
      <c r="D180" s="1052"/>
      <c r="E180" s="1052"/>
      <c r="F180" s="122"/>
      <c r="G180" s="123"/>
      <c r="H180" s="1052"/>
      <c r="I180" s="1052"/>
      <c r="J180" s="1052"/>
      <c r="K180" s="911"/>
    </row>
    <row r="181" spans="1:11" s="125" customFormat="1" ht="14.25" hidden="1" customHeight="1" outlineLevel="1">
      <c r="A181" s="902"/>
      <c r="B181" s="1053">
        <v>57</v>
      </c>
      <c r="C181" s="1056"/>
      <c r="D181" s="1057"/>
      <c r="E181" s="1056"/>
      <c r="F181" s="118"/>
      <c r="G181" s="119"/>
      <c r="H181" s="1056"/>
      <c r="I181" s="1049"/>
      <c r="J181" s="1049"/>
      <c r="K181" s="911"/>
    </row>
    <row r="182" spans="1:11" s="125" customFormat="1" ht="14.25" hidden="1" customHeight="1" outlineLevel="1">
      <c r="A182" s="902"/>
      <c r="B182" s="1054"/>
      <c r="C182" s="1050"/>
      <c r="D182" s="1050"/>
      <c r="E182" s="1050"/>
      <c r="F182" s="120"/>
      <c r="G182" s="121"/>
      <c r="H182" s="1050"/>
      <c r="I182" s="1050"/>
      <c r="J182" s="1050"/>
      <c r="K182" s="911"/>
    </row>
    <row r="183" spans="1:11" s="125" customFormat="1" ht="15" hidden="1" customHeight="1" outlineLevel="1" thickBot="1">
      <c r="A183" s="902"/>
      <c r="B183" s="1058"/>
      <c r="C183" s="1052"/>
      <c r="D183" s="1052"/>
      <c r="E183" s="1052"/>
      <c r="F183" s="122"/>
      <c r="G183" s="123"/>
      <c r="H183" s="1052"/>
      <c r="I183" s="1052"/>
      <c r="J183" s="1052"/>
      <c r="K183" s="911"/>
    </row>
    <row r="184" spans="1:11" s="125" customFormat="1" ht="14.25" hidden="1" customHeight="1" outlineLevel="1">
      <c r="A184" s="902"/>
      <c r="B184" s="1053">
        <v>58</v>
      </c>
      <c r="C184" s="1056"/>
      <c r="D184" s="1057"/>
      <c r="E184" s="1056"/>
      <c r="F184" s="118"/>
      <c r="G184" s="119"/>
      <c r="H184" s="1056"/>
      <c r="I184" s="1049"/>
      <c r="J184" s="1049"/>
      <c r="K184" s="911"/>
    </row>
    <row r="185" spans="1:11" s="125" customFormat="1" ht="14.25" hidden="1" customHeight="1" outlineLevel="1">
      <c r="A185" s="902"/>
      <c r="B185" s="1054"/>
      <c r="C185" s="1050"/>
      <c r="D185" s="1050"/>
      <c r="E185" s="1050"/>
      <c r="F185" s="120"/>
      <c r="G185" s="121"/>
      <c r="H185" s="1050"/>
      <c r="I185" s="1050"/>
      <c r="J185" s="1050"/>
      <c r="K185" s="911"/>
    </row>
    <row r="186" spans="1:11" s="125" customFormat="1" ht="15" hidden="1" customHeight="1" outlineLevel="1" thickBot="1">
      <c r="A186" s="902"/>
      <c r="B186" s="1058"/>
      <c r="C186" s="1052"/>
      <c r="D186" s="1052"/>
      <c r="E186" s="1052"/>
      <c r="F186" s="122"/>
      <c r="G186" s="123"/>
      <c r="H186" s="1052"/>
      <c r="I186" s="1052"/>
      <c r="J186" s="1052"/>
      <c r="K186" s="911"/>
    </row>
    <row r="187" spans="1:11" s="125" customFormat="1" ht="14.25" hidden="1" customHeight="1" outlineLevel="1">
      <c r="A187" s="902"/>
      <c r="B187" s="1053">
        <v>59</v>
      </c>
      <c r="C187" s="1056"/>
      <c r="D187" s="1057"/>
      <c r="E187" s="1056"/>
      <c r="F187" s="118"/>
      <c r="G187" s="119"/>
      <c r="H187" s="1056"/>
      <c r="I187" s="1049"/>
      <c r="J187" s="1049"/>
      <c r="K187" s="911"/>
    </row>
    <row r="188" spans="1:11" s="125" customFormat="1" ht="14.25" hidden="1" customHeight="1" outlineLevel="1">
      <c r="A188" s="902"/>
      <c r="B188" s="1054"/>
      <c r="C188" s="1050"/>
      <c r="D188" s="1050"/>
      <c r="E188" s="1050"/>
      <c r="F188" s="120"/>
      <c r="G188" s="121"/>
      <c r="H188" s="1050"/>
      <c r="I188" s="1050"/>
      <c r="J188" s="1050"/>
      <c r="K188" s="911"/>
    </row>
    <row r="189" spans="1:11" s="125" customFormat="1" ht="15" hidden="1" customHeight="1" outlineLevel="1" thickBot="1">
      <c r="A189" s="902"/>
      <c r="B189" s="1058"/>
      <c r="C189" s="1052"/>
      <c r="D189" s="1052"/>
      <c r="E189" s="1052"/>
      <c r="F189" s="122"/>
      <c r="G189" s="123"/>
      <c r="H189" s="1052"/>
      <c r="I189" s="1052"/>
      <c r="J189" s="1052"/>
      <c r="K189" s="911"/>
    </row>
    <row r="190" spans="1:11" s="125" customFormat="1" ht="14.25" hidden="1" customHeight="1" outlineLevel="1">
      <c r="A190" s="902"/>
      <c r="B190" s="1053">
        <v>60</v>
      </c>
      <c r="C190" s="1056"/>
      <c r="D190" s="1057"/>
      <c r="E190" s="1056"/>
      <c r="F190" s="118"/>
      <c r="G190" s="119"/>
      <c r="H190" s="1056"/>
      <c r="I190" s="1049"/>
      <c r="J190" s="1049"/>
      <c r="K190" s="911"/>
    </row>
    <row r="191" spans="1:11" s="125" customFormat="1" ht="14.25" hidden="1" customHeight="1" outlineLevel="1">
      <c r="A191" s="902"/>
      <c r="B191" s="1054"/>
      <c r="C191" s="1050"/>
      <c r="D191" s="1050"/>
      <c r="E191" s="1050"/>
      <c r="F191" s="120"/>
      <c r="G191" s="121"/>
      <c r="H191" s="1050"/>
      <c r="I191" s="1050"/>
      <c r="J191" s="1050"/>
      <c r="K191" s="911"/>
    </row>
    <row r="192" spans="1:11" s="125" customFormat="1" ht="15" hidden="1" customHeight="1" outlineLevel="1" thickBot="1">
      <c r="A192" s="902"/>
      <c r="B192" s="1058"/>
      <c r="C192" s="1052"/>
      <c r="D192" s="1052"/>
      <c r="E192" s="1052"/>
      <c r="F192" s="122"/>
      <c r="G192" s="123"/>
      <c r="H192" s="1052"/>
      <c r="I192" s="1052"/>
      <c r="J192" s="1052"/>
      <c r="K192" s="911"/>
    </row>
    <row r="193" spans="1:11" s="125" customFormat="1" ht="14.25" hidden="1" customHeight="1" outlineLevel="1">
      <c r="A193" s="902"/>
      <c r="B193" s="1053">
        <v>61</v>
      </c>
      <c r="C193" s="1056"/>
      <c r="D193" s="1057"/>
      <c r="E193" s="1056"/>
      <c r="F193" s="118"/>
      <c r="G193" s="119"/>
      <c r="H193" s="1056"/>
      <c r="I193" s="1049"/>
      <c r="J193" s="1049"/>
      <c r="K193" s="911"/>
    </row>
    <row r="194" spans="1:11" s="125" customFormat="1" ht="14.25" hidden="1" customHeight="1" outlineLevel="1">
      <c r="A194" s="902"/>
      <c r="B194" s="1054"/>
      <c r="C194" s="1050"/>
      <c r="D194" s="1050"/>
      <c r="E194" s="1050"/>
      <c r="F194" s="120"/>
      <c r="G194" s="121"/>
      <c r="H194" s="1050"/>
      <c r="I194" s="1050"/>
      <c r="J194" s="1050"/>
      <c r="K194" s="911"/>
    </row>
    <row r="195" spans="1:11" s="125" customFormat="1" ht="15" hidden="1" customHeight="1" outlineLevel="1" thickBot="1">
      <c r="A195" s="902"/>
      <c r="B195" s="1058"/>
      <c r="C195" s="1052"/>
      <c r="D195" s="1052"/>
      <c r="E195" s="1052"/>
      <c r="F195" s="122"/>
      <c r="G195" s="123"/>
      <c r="H195" s="1052"/>
      <c r="I195" s="1052"/>
      <c r="J195" s="1052"/>
      <c r="K195" s="911"/>
    </row>
    <row r="196" spans="1:11" s="125" customFormat="1" ht="14.25" hidden="1" customHeight="1" outlineLevel="1">
      <c r="A196" s="902"/>
      <c r="B196" s="1053">
        <v>62</v>
      </c>
      <c r="C196" s="1056"/>
      <c r="D196" s="1057"/>
      <c r="E196" s="1056"/>
      <c r="F196" s="118"/>
      <c r="G196" s="119"/>
      <c r="H196" s="1056"/>
      <c r="I196" s="1049"/>
      <c r="J196" s="1049"/>
      <c r="K196" s="911"/>
    </row>
    <row r="197" spans="1:11" s="125" customFormat="1" ht="14.25" hidden="1" customHeight="1" outlineLevel="1">
      <c r="A197" s="902"/>
      <c r="B197" s="1054"/>
      <c r="C197" s="1050"/>
      <c r="D197" s="1050"/>
      <c r="E197" s="1050"/>
      <c r="F197" s="120"/>
      <c r="G197" s="121"/>
      <c r="H197" s="1050"/>
      <c r="I197" s="1050"/>
      <c r="J197" s="1050"/>
      <c r="K197" s="911"/>
    </row>
    <row r="198" spans="1:11" s="125" customFormat="1" ht="15" hidden="1" customHeight="1" outlineLevel="1" thickBot="1">
      <c r="A198" s="902"/>
      <c r="B198" s="1058"/>
      <c r="C198" s="1052"/>
      <c r="D198" s="1052"/>
      <c r="E198" s="1052"/>
      <c r="F198" s="122"/>
      <c r="G198" s="123"/>
      <c r="H198" s="1052"/>
      <c r="I198" s="1052"/>
      <c r="J198" s="1052"/>
      <c r="K198" s="911"/>
    </row>
    <row r="199" spans="1:11" s="125" customFormat="1" ht="14.25" hidden="1" customHeight="1" outlineLevel="1">
      <c r="A199" s="902"/>
      <c r="B199" s="1053">
        <v>63</v>
      </c>
      <c r="C199" s="1056"/>
      <c r="D199" s="1057"/>
      <c r="E199" s="1056"/>
      <c r="F199" s="118"/>
      <c r="G199" s="119"/>
      <c r="H199" s="1056"/>
      <c r="I199" s="1049"/>
      <c r="J199" s="1049"/>
      <c r="K199" s="911"/>
    </row>
    <row r="200" spans="1:11" s="125" customFormat="1" ht="14.25" hidden="1" customHeight="1" outlineLevel="1">
      <c r="A200" s="902"/>
      <c r="B200" s="1054"/>
      <c r="C200" s="1050"/>
      <c r="D200" s="1050"/>
      <c r="E200" s="1050"/>
      <c r="F200" s="120"/>
      <c r="G200" s="121"/>
      <c r="H200" s="1050"/>
      <c r="I200" s="1050"/>
      <c r="J200" s="1050"/>
      <c r="K200" s="911"/>
    </row>
    <row r="201" spans="1:11" s="125" customFormat="1" ht="15" hidden="1" customHeight="1" outlineLevel="1" thickBot="1">
      <c r="A201" s="902"/>
      <c r="B201" s="1058"/>
      <c r="C201" s="1052"/>
      <c r="D201" s="1052"/>
      <c r="E201" s="1052"/>
      <c r="F201" s="122"/>
      <c r="G201" s="123"/>
      <c r="H201" s="1052"/>
      <c r="I201" s="1052"/>
      <c r="J201" s="1052"/>
      <c r="K201" s="911"/>
    </row>
    <row r="202" spans="1:11" s="125" customFormat="1" ht="14.25" hidden="1" customHeight="1" outlineLevel="1">
      <c r="A202" s="902"/>
      <c r="B202" s="1053">
        <v>64</v>
      </c>
      <c r="C202" s="1056"/>
      <c r="D202" s="1057"/>
      <c r="E202" s="1056"/>
      <c r="F202" s="118"/>
      <c r="G202" s="119"/>
      <c r="H202" s="1056"/>
      <c r="I202" s="1049"/>
      <c r="J202" s="1049"/>
      <c r="K202" s="911"/>
    </row>
    <row r="203" spans="1:11" s="125" customFormat="1" ht="14.25" hidden="1" customHeight="1" outlineLevel="1">
      <c r="A203" s="902"/>
      <c r="B203" s="1054"/>
      <c r="C203" s="1050"/>
      <c r="D203" s="1050"/>
      <c r="E203" s="1050"/>
      <c r="F203" s="120"/>
      <c r="G203" s="121"/>
      <c r="H203" s="1050"/>
      <c r="I203" s="1050"/>
      <c r="J203" s="1050"/>
      <c r="K203" s="911"/>
    </row>
    <row r="204" spans="1:11" s="125" customFormat="1" ht="15" hidden="1" customHeight="1" outlineLevel="1" thickBot="1">
      <c r="A204" s="902"/>
      <c r="B204" s="1058"/>
      <c r="C204" s="1052"/>
      <c r="D204" s="1052"/>
      <c r="E204" s="1052"/>
      <c r="F204" s="122"/>
      <c r="G204" s="123"/>
      <c r="H204" s="1052"/>
      <c r="I204" s="1052"/>
      <c r="J204" s="1052"/>
      <c r="K204" s="911"/>
    </row>
    <row r="205" spans="1:11" s="125" customFormat="1" ht="14.25" hidden="1" customHeight="1" outlineLevel="1">
      <c r="A205" s="902"/>
      <c r="B205" s="1053">
        <v>65</v>
      </c>
      <c r="C205" s="1056"/>
      <c r="D205" s="1057"/>
      <c r="E205" s="1056"/>
      <c r="F205" s="118"/>
      <c r="G205" s="119"/>
      <c r="H205" s="1056"/>
      <c r="I205" s="1049"/>
      <c r="J205" s="1049"/>
      <c r="K205" s="911"/>
    </row>
    <row r="206" spans="1:11" s="125" customFormat="1" ht="14.25" hidden="1" customHeight="1" outlineLevel="1">
      <c r="A206" s="902"/>
      <c r="B206" s="1054"/>
      <c r="C206" s="1050"/>
      <c r="D206" s="1050"/>
      <c r="E206" s="1050"/>
      <c r="F206" s="120"/>
      <c r="G206" s="121"/>
      <c r="H206" s="1050"/>
      <c r="I206" s="1050"/>
      <c r="J206" s="1050"/>
      <c r="K206" s="911"/>
    </row>
    <row r="207" spans="1:11" s="125" customFormat="1" ht="15" hidden="1" customHeight="1" outlineLevel="1" thickBot="1">
      <c r="A207" s="902"/>
      <c r="B207" s="1058"/>
      <c r="C207" s="1052"/>
      <c r="D207" s="1052"/>
      <c r="E207" s="1052"/>
      <c r="F207" s="122"/>
      <c r="G207" s="123"/>
      <c r="H207" s="1052"/>
      <c r="I207" s="1052"/>
      <c r="J207" s="1052"/>
      <c r="K207" s="911"/>
    </row>
    <row r="208" spans="1:11" s="125" customFormat="1" ht="14.25" hidden="1" customHeight="1" outlineLevel="1">
      <c r="A208" s="902"/>
      <c r="B208" s="1053">
        <v>66</v>
      </c>
      <c r="C208" s="1056"/>
      <c r="D208" s="1057"/>
      <c r="E208" s="1056"/>
      <c r="F208" s="118"/>
      <c r="G208" s="119"/>
      <c r="H208" s="1056"/>
      <c r="I208" s="1049"/>
      <c r="J208" s="1049"/>
      <c r="K208" s="911"/>
    </row>
    <row r="209" spans="1:11" s="125" customFormat="1" ht="14.25" hidden="1" customHeight="1" outlineLevel="1">
      <c r="A209" s="902"/>
      <c r="B209" s="1054"/>
      <c r="C209" s="1050"/>
      <c r="D209" s="1050"/>
      <c r="E209" s="1050"/>
      <c r="F209" s="120"/>
      <c r="G209" s="121"/>
      <c r="H209" s="1050"/>
      <c r="I209" s="1050"/>
      <c r="J209" s="1050"/>
      <c r="K209" s="911"/>
    </row>
    <row r="210" spans="1:11" s="125" customFormat="1" ht="15" hidden="1" customHeight="1" outlineLevel="1" thickBot="1">
      <c r="A210" s="902"/>
      <c r="B210" s="1058"/>
      <c r="C210" s="1052"/>
      <c r="D210" s="1052"/>
      <c r="E210" s="1052"/>
      <c r="F210" s="122"/>
      <c r="G210" s="123"/>
      <c r="H210" s="1052"/>
      <c r="I210" s="1052"/>
      <c r="J210" s="1052"/>
      <c r="K210" s="911"/>
    </row>
    <row r="211" spans="1:11" s="125" customFormat="1" ht="14.25" hidden="1" customHeight="1" outlineLevel="1">
      <c r="A211" s="902"/>
      <c r="B211" s="1053">
        <v>67</v>
      </c>
      <c r="C211" s="1056"/>
      <c r="D211" s="1057"/>
      <c r="E211" s="1056"/>
      <c r="F211" s="118"/>
      <c r="G211" s="119"/>
      <c r="H211" s="1056"/>
      <c r="I211" s="1049"/>
      <c r="J211" s="1049"/>
      <c r="K211" s="911"/>
    </row>
    <row r="212" spans="1:11" s="125" customFormat="1" ht="14.25" hidden="1" customHeight="1" outlineLevel="1">
      <c r="A212" s="902"/>
      <c r="B212" s="1054"/>
      <c r="C212" s="1050"/>
      <c r="D212" s="1050"/>
      <c r="E212" s="1050"/>
      <c r="F212" s="120"/>
      <c r="G212" s="121"/>
      <c r="H212" s="1050"/>
      <c r="I212" s="1050"/>
      <c r="J212" s="1050"/>
      <c r="K212" s="911"/>
    </row>
    <row r="213" spans="1:11" s="125" customFormat="1" ht="15" hidden="1" customHeight="1" outlineLevel="1" thickBot="1">
      <c r="A213" s="902"/>
      <c r="B213" s="1058"/>
      <c r="C213" s="1052"/>
      <c r="D213" s="1052"/>
      <c r="E213" s="1052"/>
      <c r="F213" s="122"/>
      <c r="G213" s="123"/>
      <c r="H213" s="1052"/>
      <c r="I213" s="1052"/>
      <c r="J213" s="1052"/>
      <c r="K213" s="911"/>
    </row>
    <row r="214" spans="1:11" s="125" customFormat="1" ht="14.25" hidden="1" customHeight="1" outlineLevel="1">
      <c r="A214" s="902"/>
      <c r="B214" s="1053">
        <v>68</v>
      </c>
      <c r="C214" s="1056"/>
      <c r="D214" s="1057"/>
      <c r="E214" s="1056"/>
      <c r="F214" s="118"/>
      <c r="G214" s="119"/>
      <c r="H214" s="1056"/>
      <c r="I214" s="1049"/>
      <c r="J214" s="1049"/>
      <c r="K214" s="911"/>
    </row>
    <row r="215" spans="1:11" s="125" customFormat="1" ht="14.25" hidden="1" customHeight="1" outlineLevel="1">
      <c r="A215" s="902"/>
      <c r="B215" s="1054"/>
      <c r="C215" s="1050"/>
      <c r="D215" s="1050"/>
      <c r="E215" s="1050"/>
      <c r="F215" s="120"/>
      <c r="G215" s="121"/>
      <c r="H215" s="1050"/>
      <c r="I215" s="1050"/>
      <c r="J215" s="1050"/>
      <c r="K215" s="911"/>
    </row>
    <row r="216" spans="1:11" s="125" customFormat="1" ht="15" hidden="1" customHeight="1" outlineLevel="1" thickBot="1">
      <c r="A216" s="902"/>
      <c r="B216" s="1058"/>
      <c r="C216" s="1052"/>
      <c r="D216" s="1052"/>
      <c r="E216" s="1052"/>
      <c r="F216" s="122"/>
      <c r="G216" s="123"/>
      <c r="H216" s="1052"/>
      <c r="I216" s="1052"/>
      <c r="J216" s="1052"/>
      <c r="K216" s="911"/>
    </row>
    <row r="217" spans="1:11" s="125" customFormat="1" ht="14.25" hidden="1" customHeight="1" outlineLevel="1">
      <c r="A217" s="902"/>
      <c r="B217" s="1053">
        <v>69</v>
      </c>
      <c r="C217" s="1056"/>
      <c r="D217" s="1057"/>
      <c r="E217" s="1056"/>
      <c r="F217" s="118"/>
      <c r="G217" s="119"/>
      <c r="H217" s="1056"/>
      <c r="I217" s="1049"/>
      <c r="J217" s="1049"/>
      <c r="K217" s="911"/>
    </row>
    <row r="218" spans="1:11" s="125" customFormat="1" ht="14.25" hidden="1" customHeight="1" outlineLevel="1">
      <c r="A218" s="902"/>
      <c r="B218" s="1054"/>
      <c r="C218" s="1050"/>
      <c r="D218" s="1050"/>
      <c r="E218" s="1050"/>
      <c r="F218" s="120"/>
      <c r="G218" s="121"/>
      <c r="H218" s="1050"/>
      <c r="I218" s="1050"/>
      <c r="J218" s="1050"/>
      <c r="K218" s="911"/>
    </row>
    <row r="219" spans="1:11" s="125" customFormat="1" ht="15" hidden="1" customHeight="1" outlineLevel="1" thickBot="1">
      <c r="A219" s="902"/>
      <c r="B219" s="1058"/>
      <c r="C219" s="1052"/>
      <c r="D219" s="1052"/>
      <c r="E219" s="1052"/>
      <c r="F219" s="122"/>
      <c r="G219" s="123"/>
      <c r="H219" s="1052"/>
      <c r="I219" s="1052"/>
      <c r="J219" s="1052"/>
      <c r="K219" s="911"/>
    </row>
    <row r="220" spans="1:11" s="125" customFormat="1" ht="14.25" hidden="1" customHeight="1" outlineLevel="1">
      <c r="A220" s="902"/>
      <c r="B220" s="1053">
        <v>70</v>
      </c>
      <c r="C220" s="1056"/>
      <c r="D220" s="1057"/>
      <c r="E220" s="1056"/>
      <c r="F220" s="118"/>
      <c r="G220" s="119"/>
      <c r="H220" s="1056"/>
      <c r="I220" s="1049"/>
      <c r="J220" s="1049"/>
      <c r="K220" s="911"/>
    </row>
    <row r="221" spans="1:11" s="125" customFormat="1" ht="14.25" hidden="1" customHeight="1" outlineLevel="1">
      <c r="A221" s="902"/>
      <c r="B221" s="1054"/>
      <c r="C221" s="1050"/>
      <c r="D221" s="1050"/>
      <c r="E221" s="1050"/>
      <c r="F221" s="120"/>
      <c r="G221" s="121"/>
      <c r="H221" s="1050"/>
      <c r="I221" s="1050"/>
      <c r="J221" s="1050"/>
      <c r="K221" s="911"/>
    </row>
    <row r="222" spans="1:11" s="125" customFormat="1" ht="15" hidden="1" customHeight="1" outlineLevel="1" thickBot="1">
      <c r="A222" s="902"/>
      <c r="B222" s="1058"/>
      <c r="C222" s="1052"/>
      <c r="D222" s="1052"/>
      <c r="E222" s="1052"/>
      <c r="F222" s="122"/>
      <c r="G222" s="123"/>
      <c r="H222" s="1052"/>
      <c r="I222" s="1052"/>
      <c r="J222" s="1052"/>
      <c r="K222" s="911"/>
    </row>
    <row r="223" spans="1:11" s="125" customFormat="1" ht="14.25" hidden="1" customHeight="1" outlineLevel="1">
      <c r="A223" s="902"/>
      <c r="B223" s="1053">
        <v>71</v>
      </c>
      <c r="C223" s="1056"/>
      <c r="D223" s="1057"/>
      <c r="E223" s="1056"/>
      <c r="F223" s="118"/>
      <c r="G223" s="119"/>
      <c r="H223" s="1056"/>
      <c r="I223" s="1049"/>
      <c r="J223" s="1049"/>
      <c r="K223" s="911"/>
    </row>
    <row r="224" spans="1:11" s="125" customFormat="1" ht="14.25" hidden="1" customHeight="1" outlineLevel="1">
      <c r="A224" s="902"/>
      <c r="B224" s="1054"/>
      <c r="C224" s="1050"/>
      <c r="D224" s="1050"/>
      <c r="E224" s="1050"/>
      <c r="F224" s="120"/>
      <c r="G224" s="121"/>
      <c r="H224" s="1050"/>
      <c r="I224" s="1050"/>
      <c r="J224" s="1050"/>
      <c r="K224" s="911"/>
    </row>
    <row r="225" spans="1:11" s="125" customFormat="1" ht="15" hidden="1" customHeight="1" outlineLevel="1" thickBot="1">
      <c r="A225" s="902"/>
      <c r="B225" s="1058"/>
      <c r="C225" s="1052"/>
      <c r="D225" s="1052"/>
      <c r="E225" s="1052"/>
      <c r="F225" s="122"/>
      <c r="G225" s="123"/>
      <c r="H225" s="1052"/>
      <c r="I225" s="1052"/>
      <c r="J225" s="1052"/>
      <c r="K225" s="911"/>
    </row>
    <row r="226" spans="1:11" s="125" customFormat="1" ht="14.25" hidden="1" customHeight="1" outlineLevel="1">
      <c r="A226" s="902"/>
      <c r="B226" s="1053">
        <v>72</v>
      </c>
      <c r="C226" s="1056"/>
      <c r="D226" s="1057"/>
      <c r="E226" s="1056"/>
      <c r="F226" s="118"/>
      <c r="G226" s="119"/>
      <c r="H226" s="1056"/>
      <c r="I226" s="1049"/>
      <c r="J226" s="1049"/>
      <c r="K226" s="911"/>
    </row>
    <row r="227" spans="1:11" s="125" customFormat="1" ht="14.25" hidden="1" customHeight="1" outlineLevel="1">
      <c r="A227" s="902"/>
      <c r="B227" s="1054"/>
      <c r="C227" s="1050"/>
      <c r="D227" s="1050"/>
      <c r="E227" s="1050"/>
      <c r="F227" s="120"/>
      <c r="G227" s="121"/>
      <c r="H227" s="1050"/>
      <c r="I227" s="1050"/>
      <c r="J227" s="1050"/>
      <c r="K227" s="911"/>
    </row>
    <row r="228" spans="1:11" s="125" customFormat="1" ht="15" hidden="1" customHeight="1" outlineLevel="1" thickBot="1">
      <c r="A228" s="902"/>
      <c r="B228" s="1058"/>
      <c r="C228" s="1052"/>
      <c r="D228" s="1052"/>
      <c r="E228" s="1052"/>
      <c r="F228" s="122"/>
      <c r="G228" s="123"/>
      <c r="H228" s="1052"/>
      <c r="I228" s="1052"/>
      <c r="J228" s="1052"/>
      <c r="K228" s="911"/>
    </row>
    <row r="229" spans="1:11" s="125" customFormat="1" ht="14.25" hidden="1" customHeight="1" outlineLevel="1">
      <c r="A229" s="902"/>
      <c r="B229" s="1053">
        <v>73</v>
      </c>
      <c r="C229" s="1056"/>
      <c r="D229" s="1057"/>
      <c r="E229" s="1056"/>
      <c r="F229" s="118"/>
      <c r="G229" s="119"/>
      <c r="H229" s="1056"/>
      <c r="I229" s="1049"/>
      <c r="J229" s="1049"/>
      <c r="K229" s="911"/>
    </row>
    <row r="230" spans="1:11" s="125" customFormat="1" ht="14.25" hidden="1" customHeight="1" outlineLevel="1">
      <c r="A230" s="902"/>
      <c r="B230" s="1054"/>
      <c r="C230" s="1050"/>
      <c r="D230" s="1050"/>
      <c r="E230" s="1050"/>
      <c r="F230" s="120"/>
      <c r="G230" s="121"/>
      <c r="H230" s="1050"/>
      <c r="I230" s="1050"/>
      <c r="J230" s="1050"/>
      <c r="K230" s="911"/>
    </row>
    <row r="231" spans="1:11" s="125" customFormat="1" ht="15" hidden="1" customHeight="1" outlineLevel="1" thickBot="1">
      <c r="A231" s="902"/>
      <c r="B231" s="1058"/>
      <c r="C231" s="1052"/>
      <c r="D231" s="1052"/>
      <c r="E231" s="1052"/>
      <c r="F231" s="122"/>
      <c r="G231" s="123"/>
      <c r="H231" s="1052"/>
      <c r="I231" s="1052"/>
      <c r="J231" s="1052"/>
      <c r="K231" s="911"/>
    </row>
    <row r="232" spans="1:11" s="125" customFormat="1" ht="14.25" hidden="1" customHeight="1" outlineLevel="1">
      <c r="A232" s="902"/>
      <c r="B232" s="1053">
        <v>74</v>
      </c>
      <c r="C232" s="1056"/>
      <c r="D232" s="1057"/>
      <c r="E232" s="1056"/>
      <c r="F232" s="118"/>
      <c r="G232" s="119"/>
      <c r="H232" s="1056"/>
      <c r="I232" s="1049"/>
      <c r="J232" s="1049"/>
      <c r="K232" s="911"/>
    </row>
    <row r="233" spans="1:11" s="125" customFormat="1" ht="14.25" hidden="1" customHeight="1" outlineLevel="1">
      <c r="A233" s="902"/>
      <c r="B233" s="1054"/>
      <c r="C233" s="1050"/>
      <c r="D233" s="1050"/>
      <c r="E233" s="1050"/>
      <c r="F233" s="120"/>
      <c r="G233" s="121"/>
      <c r="H233" s="1050"/>
      <c r="I233" s="1050"/>
      <c r="J233" s="1050"/>
      <c r="K233" s="911"/>
    </row>
    <row r="234" spans="1:11" s="125" customFormat="1" ht="15" hidden="1" customHeight="1" outlineLevel="1" thickBot="1">
      <c r="A234" s="902"/>
      <c r="B234" s="1058"/>
      <c r="C234" s="1052"/>
      <c r="D234" s="1052"/>
      <c r="E234" s="1052"/>
      <c r="F234" s="122"/>
      <c r="G234" s="123"/>
      <c r="H234" s="1052"/>
      <c r="I234" s="1052"/>
      <c r="J234" s="1052"/>
      <c r="K234" s="911"/>
    </row>
    <row r="235" spans="1:11" s="125" customFormat="1" ht="14.25" hidden="1" customHeight="1" outlineLevel="1">
      <c r="A235" s="902"/>
      <c r="B235" s="1053">
        <v>75</v>
      </c>
      <c r="C235" s="1056"/>
      <c r="D235" s="1057"/>
      <c r="E235" s="1056"/>
      <c r="F235" s="118"/>
      <c r="G235" s="119"/>
      <c r="H235" s="1056"/>
      <c r="I235" s="1049"/>
      <c r="J235" s="1049"/>
      <c r="K235" s="911"/>
    </row>
    <row r="236" spans="1:11" s="125" customFormat="1" ht="14.25" hidden="1" customHeight="1" outlineLevel="1">
      <c r="A236" s="902"/>
      <c r="B236" s="1054"/>
      <c r="C236" s="1050"/>
      <c r="D236" s="1050"/>
      <c r="E236" s="1050"/>
      <c r="F236" s="120"/>
      <c r="G236" s="121"/>
      <c r="H236" s="1050"/>
      <c r="I236" s="1050"/>
      <c r="J236" s="1050"/>
      <c r="K236" s="911"/>
    </row>
    <row r="237" spans="1:11" s="125" customFormat="1" ht="15" hidden="1" customHeight="1" outlineLevel="1" thickBot="1">
      <c r="A237" s="902"/>
      <c r="B237" s="1058"/>
      <c r="C237" s="1052"/>
      <c r="D237" s="1052"/>
      <c r="E237" s="1052"/>
      <c r="F237" s="122"/>
      <c r="G237" s="123"/>
      <c r="H237" s="1052"/>
      <c r="I237" s="1052"/>
      <c r="J237" s="1052"/>
      <c r="K237" s="911"/>
    </row>
    <row r="238" spans="1:11" s="125" customFormat="1" ht="14.25" hidden="1" customHeight="1" outlineLevel="1">
      <c r="A238" s="902"/>
      <c r="B238" s="1053">
        <v>76</v>
      </c>
      <c r="C238" s="1056"/>
      <c r="D238" s="1057"/>
      <c r="E238" s="1056"/>
      <c r="F238" s="118"/>
      <c r="G238" s="119"/>
      <c r="H238" s="1056"/>
      <c r="I238" s="1049"/>
      <c r="J238" s="1049"/>
      <c r="K238" s="911"/>
    </row>
    <row r="239" spans="1:11" s="125" customFormat="1" ht="14.25" hidden="1" customHeight="1" outlineLevel="1">
      <c r="A239" s="902"/>
      <c r="B239" s="1054"/>
      <c r="C239" s="1050"/>
      <c r="D239" s="1050"/>
      <c r="E239" s="1050"/>
      <c r="F239" s="120"/>
      <c r="G239" s="121"/>
      <c r="H239" s="1050"/>
      <c r="I239" s="1050"/>
      <c r="J239" s="1050"/>
      <c r="K239" s="911"/>
    </row>
    <row r="240" spans="1:11" s="125" customFormat="1" ht="15" hidden="1" customHeight="1" outlineLevel="1" thickBot="1">
      <c r="A240" s="902"/>
      <c r="B240" s="1058"/>
      <c r="C240" s="1052"/>
      <c r="D240" s="1052"/>
      <c r="E240" s="1052"/>
      <c r="F240" s="122"/>
      <c r="G240" s="123"/>
      <c r="H240" s="1052"/>
      <c r="I240" s="1052"/>
      <c r="J240" s="1052"/>
      <c r="K240" s="911"/>
    </row>
    <row r="241" spans="1:11" s="125" customFormat="1" ht="14.25" hidden="1" customHeight="1" outlineLevel="1">
      <c r="A241" s="902"/>
      <c r="B241" s="1053">
        <v>77</v>
      </c>
      <c r="C241" s="1056"/>
      <c r="D241" s="1057"/>
      <c r="E241" s="1056"/>
      <c r="F241" s="118"/>
      <c r="G241" s="119"/>
      <c r="H241" s="1056"/>
      <c r="I241" s="1049"/>
      <c r="J241" s="1049"/>
      <c r="K241" s="911"/>
    </row>
    <row r="242" spans="1:11" s="125" customFormat="1" ht="14.25" hidden="1" customHeight="1" outlineLevel="1">
      <c r="A242" s="902"/>
      <c r="B242" s="1054"/>
      <c r="C242" s="1050"/>
      <c r="D242" s="1050"/>
      <c r="E242" s="1050"/>
      <c r="F242" s="120"/>
      <c r="G242" s="121"/>
      <c r="H242" s="1050"/>
      <c r="I242" s="1050"/>
      <c r="J242" s="1050"/>
      <c r="K242" s="911"/>
    </row>
    <row r="243" spans="1:11" s="125" customFormat="1" ht="15" hidden="1" customHeight="1" outlineLevel="1" thickBot="1">
      <c r="A243" s="902"/>
      <c r="B243" s="1058"/>
      <c r="C243" s="1052"/>
      <c r="D243" s="1052"/>
      <c r="E243" s="1052"/>
      <c r="F243" s="122"/>
      <c r="G243" s="123"/>
      <c r="H243" s="1052"/>
      <c r="I243" s="1052"/>
      <c r="J243" s="1052"/>
      <c r="K243" s="911"/>
    </row>
    <row r="244" spans="1:11" s="125" customFormat="1" ht="14.25" hidden="1" customHeight="1" outlineLevel="1">
      <c r="A244" s="902"/>
      <c r="B244" s="1053">
        <v>78</v>
      </c>
      <c r="C244" s="1056"/>
      <c r="D244" s="1057"/>
      <c r="E244" s="1056"/>
      <c r="F244" s="118"/>
      <c r="G244" s="119"/>
      <c r="H244" s="1056"/>
      <c r="I244" s="1049"/>
      <c r="J244" s="1049"/>
      <c r="K244" s="911"/>
    </row>
    <row r="245" spans="1:11" s="125" customFormat="1" ht="14.25" hidden="1" customHeight="1" outlineLevel="1">
      <c r="A245" s="902"/>
      <c r="B245" s="1054"/>
      <c r="C245" s="1050"/>
      <c r="D245" s="1050"/>
      <c r="E245" s="1050"/>
      <c r="F245" s="120"/>
      <c r="G245" s="121"/>
      <c r="H245" s="1050"/>
      <c r="I245" s="1050"/>
      <c r="J245" s="1050"/>
      <c r="K245" s="911"/>
    </row>
    <row r="246" spans="1:11" s="125" customFormat="1" ht="15" hidden="1" customHeight="1" outlineLevel="1" thickBot="1">
      <c r="A246" s="902"/>
      <c r="B246" s="1058"/>
      <c r="C246" s="1052"/>
      <c r="D246" s="1052"/>
      <c r="E246" s="1052"/>
      <c r="F246" s="122"/>
      <c r="G246" s="123"/>
      <c r="H246" s="1052"/>
      <c r="I246" s="1052"/>
      <c r="J246" s="1052"/>
      <c r="K246" s="911"/>
    </row>
    <row r="247" spans="1:11" s="125" customFormat="1" ht="14.25" hidden="1" customHeight="1" outlineLevel="1">
      <c r="A247" s="902"/>
      <c r="B247" s="1053">
        <v>79</v>
      </c>
      <c r="C247" s="1056"/>
      <c r="D247" s="1057"/>
      <c r="E247" s="1056"/>
      <c r="F247" s="118"/>
      <c r="G247" s="119"/>
      <c r="H247" s="1056"/>
      <c r="I247" s="1049"/>
      <c r="J247" s="1049"/>
      <c r="K247" s="911"/>
    </row>
    <row r="248" spans="1:11" s="125" customFormat="1" ht="14.25" hidden="1" customHeight="1" outlineLevel="1">
      <c r="A248" s="902"/>
      <c r="B248" s="1054"/>
      <c r="C248" s="1050"/>
      <c r="D248" s="1050"/>
      <c r="E248" s="1050"/>
      <c r="F248" s="120"/>
      <c r="G248" s="121"/>
      <c r="H248" s="1050"/>
      <c r="I248" s="1050"/>
      <c r="J248" s="1050"/>
      <c r="K248" s="911"/>
    </row>
    <row r="249" spans="1:11" s="125" customFormat="1" ht="15" hidden="1" customHeight="1" outlineLevel="1" thickBot="1">
      <c r="A249" s="902"/>
      <c r="B249" s="1058"/>
      <c r="C249" s="1052"/>
      <c r="D249" s="1052"/>
      <c r="E249" s="1052"/>
      <c r="F249" s="122"/>
      <c r="G249" s="123"/>
      <c r="H249" s="1052"/>
      <c r="I249" s="1052"/>
      <c r="J249" s="1052"/>
      <c r="K249" s="911"/>
    </row>
    <row r="250" spans="1:11" s="125" customFormat="1" ht="14.25" hidden="1" customHeight="1" outlineLevel="1">
      <c r="A250" s="902"/>
      <c r="B250" s="1053">
        <v>80</v>
      </c>
      <c r="C250" s="1056"/>
      <c r="D250" s="1057"/>
      <c r="E250" s="1056"/>
      <c r="F250" s="118"/>
      <c r="G250" s="119"/>
      <c r="H250" s="1056"/>
      <c r="I250" s="1049"/>
      <c r="J250" s="1049"/>
      <c r="K250" s="911"/>
    </row>
    <row r="251" spans="1:11" s="125" customFormat="1" ht="14.25" hidden="1" customHeight="1" outlineLevel="1">
      <c r="A251" s="902"/>
      <c r="B251" s="1054"/>
      <c r="C251" s="1050"/>
      <c r="D251" s="1050"/>
      <c r="E251" s="1050"/>
      <c r="F251" s="120"/>
      <c r="G251" s="121"/>
      <c r="H251" s="1050"/>
      <c r="I251" s="1050"/>
      <c r="J251" s="1050"/>
      <c r="K251" s="911"/>
    </row>
    <row r="252" spans="1:11" s="125" customFormat="1" ht="15" hidden="1" customHeight="1" outlineLevel="1" thickBot="1">
      <c r="A252" s="902"/>
      <c r="B252" s="1058"/>
      <c r="C252" s="1052"/>
      <c r="D252" s="1052"/>
      <c r="E252" s="1052"/>
      <c r="F252" s="122"/>
      <c r="G252" s="123"/>
      <c r="H252" s="1052"/>
      <c r="I252" s="1052"/>
      <c r="J252" s="1052"/>
      <c r="K252" s="911"/>
    </row>
    <row r="253" spans="1:11" s="125" customFormat="1" ht="14.25" hidden="1" customHeight="1" outlineLevel="1">
      <c r="A253" s="902"/>
      <c r="B253" s="1053">
        <v>81</v>
      </c>
      <c r="C253" s="1056"/>
      <c r="D253" s="1057"/>
      <c r="E253" s="1056"/>
      <c r="F253" s="118"/>
      <c r="G253" s="119"/>
      <c r="H253" s="1056"/>
      <c r="I253" s="1049"/>
      <c r="J253" s="1049"/>
      <c r="K253" s="911"/>
    </row>
    <row r="254" spans="1:11" s="125" customFormat="1" ht="14.25" hidden="1" customHeight="1" outlineLevel="1">
      <c r="A254" s="902"/>
      <c r="B254" s="1054"/>
      <c r="C254" s="1050"/>
      <c r="D254" s="1050"/>
      <c r="E254" s="1050"/>
      <c r="F254" s="120"/>
      <c r="G254" s="121"/>
      <c r="H254" s="1050"/>
      <c r="I254" s="1050"/>
      <c r="J254" s="1050"/>
      <c r="K254" s="911"/>
    </row>
    <row r="255" spans="1:11" s="125" customFormat="1" ht="15" hidden="1" customHeight="1" outlineLevel="1" thickBot="1">
      <c r="A255" s="902"/>
      <c r="B255" s="1058"/>
      <c r="C255" s="1052"/>
      <c r="D255" s="1052"/>
      <c r="E255" s="1052"/>
      <c r="F255" s="122"/>
      <c r="G255" s="123"/>
      <c r="H255" s="1052"/>
      <c r="I255" s="1052"/>
      <c r="J255" s="1052"/>
      <c r="K255" s="911"/>
    </row>
    <row r="256" spans="1:11" s="125" customFormat="1" ht="14.25" hidden="1" customHeight="1" outlineLevel="1">
      <c r="A256" s="902"/>
      <c r="B256" s="1053">
        <v>82</v>
      </c>
      <c r="C256" s="1056"/>
      <c r="D256" s="1057"/>
      <c r="E256" s="1056"/>
      <c r="F256" s="118"/>
      <c r="G256" s="119"/>
      <c r="H256" s="1056"/>
      <c r="I256" s="1049"/>
      <c r="J256" s="1049"/>
      <c r="K256" s="911"/>
    </row>
    <row r="257" spans="1:11" s="125" customFormat="1" ht="14.25" hidden="1" customHeight="1" outlineLevel="1">
      <c r="A257" s="902"/>
      <c r="B257" s="1054"/>
      <c r="C257" s="1050"/>
      <c r="D257" s="1050"/>
      <c r="E257" s="1050"/>
      <c r="F257" s="120"/>
      <c r="G257" s="121"/>
      <c r="H257" s="1050"/>
      <c r="I257" s="1050"/>
      <c r="J257" s="1050"/>
      <c r="K257" s="911"/>
    </row>
    <row r="258" spans="1:11" s="125" customFormat="1" ht="15" hidden="1" customHeight="1" outlineLevel="1" thickBot="1">
      <c r="A258" s="902"/>
      <c r="B258" s="1058"/>
      <c r="C258" s="1052"/>
      <c r="D258" s="1052"/>
      <c r="E258" s="1052"/>
      <c r="F258" s="122"/>
      <c r="G258" s="123"/>
      <c r="H258" s="1052"/>
      <c r="I258" s="1052"/>
      <c r="J258" s="1052"/>
      <c r="K258" s="911"/>
    </row>
    <row r="259" spans="1:11" s="125" customFormat="1" ht="14.25" hidden="1" customHeight="1" outlineLevel="1">
      <c r="A259" s="902"/>
      <c r="B259" s="1053">
        <v>83</v>
      </c>
      <c r="C259" s="1056"/>
      <c r="D259" s="1057"/>
      <c r="E259" s="1056"/>
      <c r="F259" s="118"/>
      <c r="G259" s="119"/>
      <c r="H259" s="1056"/>
      <c r="I259" s="1049"/>
      <c r="J259" s="1049"/>
      <c r="K259" s="911"/>
    </row>
    <row r="260" spans="1:11" s="125" customFormat="1" ht="14.25" hidden="1" customHeight="1" outlineLevel="1">
      <c r="A260" s="902"/>
      <c r="B260" s="1054"/>
      <c r="C260" s="1050"/>
      <c r="D260" s="1050"/>
      <c r="E260" s="1050"/>
      <c r="F260" s="120"/>
      <c r="G260" s="121"/>
      <c r="H260" s="1050"/>
      <c r="I260" s="1050"/>
      <c r="J260" s="1050"/>
      <c r="K260" s="911"/>
    </row>
    <row r="261" spans="1:11" s="125" customFormat="1" ht="15" hidden="1" customHeight="1" outlineLevel="1" thickBot="1">
      <c r="A261" s="902"/>
      <c r="B261" s="1058"/>
      <c r="C261" s="1052"/>
      <c r="D261" s="1052"/>
      <c r="E261" s="1052"/>
      <c r="F261" s="122"/>
      <c r="G261" s="123"/>
      <c r="H261" s="1052"/>
      <c r="I261" s="1052"/>
      <c r="J261" s="1052"/>
      <c r="K261" s="911"/>
    </row>
    <row r="262" spans="1:11" s="125" customFormat="1" ht="14.25" hidden="1" customHeight="1" outlineLevel="1">
      <c r="A262" s="902"/>
      <c r="B262" s="1053">
        <v>84</v>
      </c>
      <c r="C262" s="1056"/>
      <c r="D262" s="1057"/>
      <c r="E262" s="1056"/>
      <c r="F262" s="118"/>
      <c r="G262" s="119"/>
      <c r="H262" s="1056"/>
      <c r="I262" s="1049"/>
      <c r="J262" s="1049"/>
      <c r="K262" s="911"/>
    </row>
    <row r="263" spans="1:11" s="125" customFormat="1" ht="14.25" hidden="1" customHeight="1" outlineLevel="1">
      <c r="A263" s="902"/>
      <c r="B263" s="1054"/>
      <c r="C263" s="1050"/>
      <c r="D263" s="1050"/>
      <c r="E263" s="1050"/>
      <c r="F263" s="120"/>
      <c r="G263" s="121"/>
      <c r="H263" s="1050"/>
      <c r="I263" s="1050"/>
      <c r="J263" s="1050"/>
      <c r="K263" s="911"/>
    </row>
    <row r="264" spans="1:11" s="125" customFormat="1" ht="15" hidden="1" customHeight="1" outlineLevel="1" thickBot="1">
      <c r="A264" s="902"/>
      <c r="B264" s="1058"/>
      <c r="C264" s="1052"/>
      <c r="D264" s="1052"/>
      <c r="E264" s="1052"/>
      <c r="F264" s="122"/>
      <c r="G264" s="123"/>
      <c r="H264" s="1052"/>
      <c r="I264" s="1052"/>
      <c r="J264" s="1052"/>
      <c r="K264" s="911"/>
    </row>
    <row r="265" spans="1:11" s="125" customFormat="1" ht="14.25" hidden="1" customHeight="1" outlineLevel="1">
      <c r="A265" s="902"/>
      <c r="B265" s="1053">
        <v>85</v>
      </c>
      <c r="C265" s="1056"/>
      <c r="D265" s="1057"/>
      <c r="E265" s="1056"/>
      <c r="F265" s="118"/>
      <c r="G265" s="119"/>
      <c r="H265" s="1056"/>
      <c r="I265" s="1049"/>
      <c r="J265" s="1049"/>
      <c r="K265" s="911"/>
    </row>
    <row r="266" spans="1:11" s="125" customFormat="1" ht="14.25" hidden="1" customHeight="1" outlineLevel="1">
      <c r="A266" s="902"/>
      <c r="B266" s="1054"/>
      <c r="C266" s="1050"/>
      <c r="D266" s="1050"/>
      <c r="E266" s="1050"/>
      <c r="F266" s="120"/>
      <c r="G266" s="121"/>
      <c r="H266" s="1050"/>
      <c r="I266" s="1050"/>
      <c r="J266" s="1050"/>
      <c r="K266" s="911"/>
    </row>
    <row r="267" spans="1:11" s="125" customFormat="1" ht="15" hidden="1" customHeight="1" outlineLevel="1" thickBot="1">
      <c r="A267" s="902"/>
      <c r="B267" s="1058"/>
      <c r="C267" s="1052"/>
      <c r="D267" s="1052"/>
      <c r="E267" s="1052"/>
      <c r="F267" s="122"/>
      <c r="G267" s="123"/>
      <c r="H267" s="1052"/>
      <c r="I267" s="1052"/>
      <c r="J267" s="1052"/>
      <c r="K267" s="911"/>
    </row>
    <row r="268" spans="1:11" s="125" customFormat="1" ht="14.25" hidden="1" customHeight="1" outlineLevel="1">
      <c r="A268" s="902"/>
      <c r="B268" s="1053">
        <v>86</v>
      </c>
      <c r="C268" s="1056"/>
      <c r="D268" s="1057"/>
      <c r="E268" s="1056"/>
      <c r="F268" s="118"/>
      <c r="G268" s="119"/>
      <c r="H268" s="1056"/>
      <c r="I268" s="1049"/>
      <c r="J268" s="1049"/>
      <c r="K268" s="911"/>
    </row>
    <row r="269" spans="1:11" s="125" customFormat="1" ht="14.25" hidden="1" customHeight="1" outlineLevel="1">
      <c r="A269" s="902"/>
      <c r="B269" s="1054"/>
      <c r="C269" s="1050"/>
      <c r="D269" s="1050"/>
      <c r="E269" s="1050"/>
      <c r="F269" s="120"/>
      <c r="G269" s="121"/>
      <c r="H269" s="1050"/>
      <c r="I269" s="1050"/>
      <c r="J269" s="1050"/>
      <c r="K269" s="911"/>
    </row>
    <row r="270" spans="1:11" s="125" customFormat="1" ht="15" hidden="1" customHeight="1" outlineLevel="1" thickBot="1">
      <c r="A270" s="902"/>
      <c r="B270" s="1058"/>
      <c r="C270" s="1052"/>
      <c r="D270" s="1052"/>
      <c r="E270" s="1052"/>
      <c r="F270" s="122"/>
      <c r="G270" s="123"/>
      <c r="H270" s="1052"/>
      <c r="I270" s="1052"/>
      <c r="J270" s="1052"/>
      <c r="K270" s="911"/>
    </row>
    <row r="271" spans="1:11" s="125" customFormat="1" ht="14.25" hidden="1" customHeight="1" outlineLevel="1">
      <c r="A271" s="902"/>
      <c r="B271" s="1053">
        <v>87</v>
      </c>
      <c r="C271" s="1056"/>
      <c r="D271" s="1057"/>
      <c r="E271" s="1056"/>
      <c r="F271" s="118"/>
      <c r="G271" s="119"/>
      <c r="H271" s="1056"/>
      <c r="I271" s="1049"/>
      <c r="J271" s="1049"/>
      <c r="K271" s="911"/>
    </row>
    <row r="272" spans="1:11" s="125" customFormat="1" ht="14.25" hidden="1" customHeight="1" outlineLevel="1">
      <c r="A272" s="902"/>
      <c r="B272" s="1054"/>
      <c r="C272" s="1050"/>
      <c r="D272" s="1050"/>
      <c r="E272" s="1050"/>
      <c r="F272" s="120"/>
      <c r="G272" s="121"/>
      <c r="H272" s="1050"/>
      <c r="I272" s="1050"/>
      <c r="J272" s="1050"/>
      <c r="K272" s="911"/>
    </row>
    <row r="273" spans="1:11" s="125" customFormat="1" ht="15" hidden="1" customHeight="1" outlineLevel="1" thickBot="1">
      <c r="A273" s="902"/>
      <c r="B273" s="1058"/>
      <c r="C273" s="1052"/>
      <c r="D273" s="1052"/>
      <c r="E273" s="1052"/>
      <c r="F273" s="122"/>
      <c r="G273" s="123"/>
      <c r="H273" s="1052"/>
      <c r="I273" s="1052"/>
      <c r="J273" s="1052"/>
      <c r="K273" s="911"/>
    </row>
    <row r="274" spans="1:11" s="125" customFormat="1" ht="14.25" hidden="1" customHeight="1" outlineLevel="1">
      <c r="A274" s="902"/>
      <c r="B274" s="1053">
        <v>88</v>
      </c>
      <c r="C274" s="1056"/>
      <c r="D274" s="1057"/>
      <c r="E274" s="1056"/>
      <c r="F274" s="118"/>
      <c r="G274" s="119"/>
      <c r="H274" s="1056"/>
      <c r="I274" s="1049"/>
      <c r="J274" s="1049"/>
      <c r="K274" s="911"/>
    </row>
    <row r="275" spans="1:11" s="125" customFormat="1" ht="14.25" hidden="1" customHeight="1" outlineLevel="1">
      <c r="A275" s="902"/>
      <c r="B275" s="1054"/>
      <c r="C275" s="1050"/>
      <c r="D275" s="1050"/>
      <c r="E275" s="1050"/>
      <c r="F275" s="120"/>
      <c r="G275" s="121"/>
      <c r="H275" s="1050"/>
      <c r="I275" s="1050"/>
      <c r="J275" s="1050"/>
      <c r="K275" s="911"/>
    </row>
    <row r="276" spans="1:11" s="125" customFormat="1" ht="15" hidden="1" customHeight="1" outlineLevel="1" thickBot="1">
      <c r="A276" s="902"/>
      <c r="B276" s="1058"/>
      <c r="C276" s="1052"/>
      <c r="D276" s="1052"/>
      <c r="E276" s="1052"/>
      <c r="F276" s="122"/>
      <c r="G276" s="123"/>
      <c r="H276" s="1052"/>
      <c r="I276" s="1052"/>
      <c r="J276" s="1052"/>
      <c r="K276" s="911"/>
    </row>
    <row r="277" spans="1:11" s="125" customFormat="1" ht="14.25" hidden="1" customHeight="1" outlineLevel="1">
      <c r="A277" s="902"/>
      <c r="B277" s="1053">
        <v>89</v>
      </c>
      <c r="C277" s="1056"/>
      <c r="D277" s="1057"/>
      <c r="E277" s="1056"/>
      <c r="F277" s="118"/>
      <c r="G277" s="119"/>
      <c r="H277" s="1056"/>
      <c r="I277" s="1049"/>
      <c r="J277" s="1049"/>
      <c r="K277" s="911"/>
    </row>
    <row r="278" spans="1:11" s="125" customFormat="1" ht="14.25" hidden="1" customHeight="1" outlineLevel="1">
      <c r="A278" s="902"/>
      <c r="B278" s="1054"/>
      <c r="C278" s="1050"/>
      <c r="D278" s="1050"/>
      <c r="E278" s="1050"/>
      <c r="F278" s="120"/>
      <c r="G278" s="121"/>
      <c r="H278" s="1050"/>
      <c r="I278" s="1050"/>
      <c r="J278" s="1050"/>
      <c r="K278" s="911"/>
    </row>
    <row r="279" spans="1:11" s="125" customFormat="1" ht="15" hidden="1" customHeight="1" outlineLevel="1" thickBot="1">
      <c r="A279" s="902"/>
      <c r="B279" s="1058"/>
      <c r="C279" s="1052"/>
      <c r="D279" s="1052"/>
      <c r="E279" s="1052"/>
      <c r="F279" s="122"/>
      <c r="G279" s="123"/>
      <c r="H279" s="1052"/>
      <c r="I279" s="1052"/>
      <c r="J279" s="1052"/>
      <c r="K279" s="911"/>
    </row>
    <row r="280" spans="1:11" s="125" customFormat="1" ht="14.25" hidden="1" customHeight="1" outlineLevel="1">
      <c r="A280" s="902"/>
      <c r="B280" s="1053">
        <v>90</v>
      </c>
      <c r="C280" s="1056"/>
      <c r="D280" s="1057"/>
      <c r="E280" s="1056"/>
      <c r="F280" s="118"/>
      <c r="G280" s="119"/>
      <c r="H280" s="1056"/>
      <c r="I280" s="1049"/>
      <c r="J280" s="1049"/>
      <c r="K280" s="911"/>
    </row>
    <row r="281" spans="1:11" s="125" customFormat="1" ht="14.25" hidden="1" customHeight="1" outlineLevel="1">
      <c r="A281" s="902"/>
      <c r="B281" s="1054"/>
      <c r="C281" s="1050"/>
      <c r="D281" s="1050"/>
      <c r="E281" s="1050"/>
      <c r="F281" s="120"/>
      <c r="G281" s="121"/>
      <c r="H281" s="1050"/>
      <c r="I281" s="1050"/>
      <c r="J281" s="1050"/>
      <c r="K281" s="911"/>
    </row>
    <row r="282" spans="1:11" s="125" customFormat="1" ht="15" hidden="1" customHeight="1" outlineLevel="1" thickBot="1">
      <c r="A282" s="902"/>
      <c r="B282" s="1058"/>
      <c r="C282" s="1052"/>
      <c r="D282" s="1052"/>
      <c r="E282" s="1052"/>
      <c r="F282" s="122"/>
      <c r="G282" s="123"/>
      <c r="H282" s="1052"/>
      <c r="I282" s="1052"/>
      <c r="J282" s="1052"/>
      <c r="K282" s="911"/>
    </row>
    <row r="283" spans="1:11" s="125" customFormat="1" ht="14.25" hidden="1" customHeight="1" outlineLevel="1">
      <c r="A283" s="902"/>
      <c r="B283" s="1053">
        <v>91</v>
      </c>
      <c r="C283" s="1056"/>
      <c r="D283" s="1057"/>
      <c r="E283" s="1056"/>
      <c r="F283" s="118"/>
      <c r="G283" s="119"/>
      <c r="H283" s="1056"/>
      <c r="I283" s="1049"/>
      <c r="J283" s="1049"/>
      <c r="K283" s="911"/>
    </row>
    <row r="284" spans="1:11" s="125" customFormat="1" ht="14.25" hidden="1" customHeight="1" outlineLevel="1">
      <c r="A284" s="902"/>
      <c r="B284" s="1054"/>
      <c r="C284" s="1050"/>
      <c r="D284" s="1050"/>
      <c r="E284" s="1050"/>
      <c r="F284" s="120"/>
      <c r="G284" s="121"/>
      <c r="H284" s="1050"/>
      <c r="I284" s="1050"/>
      <c r="J284" s="1050"/>
      <c r="K284" s="911"/>
    </row>
    <row r="285" spans="1:11" s="125" customFormat="1" ht="15" hidden="1" customHeight="1" outlineLevel="1" thickBot="1">
      <c r="A285" s="902"/>
      <c r="B285" s="1058"/>
      <c r="C285" s="1052"/>
      <c r="D285" s="1052"/>
      <c r="E285" s="1052"/>
      <c r="F285" s="122"/>
      <c r="G285" s="123"/>
      <c r="H285" s="1052"/>
      <c r="I285" s="1052"/>
      <c r="J285" s="1052"/>
      <c r="K285" s="911"/>
    </row>
    <row r="286" spans="1:11" s="125" customFormat="1" ht="14.25" hidden="1" customHeight="1" outlineLevel="1">
      <c r="A286" s="902"/>
      <c r="B286" s="1053">
        <v>92</v>
      </c>
      <c r="C286" s="1056"/>
      <c r="D286" s="1057"/>
      <c r="E286" s="1056"/>
      <c r="F286" s="118"/>
      <c r="G286" s="119"/>
      <c r="H286" s="1056"/>
      <c r="I286" s="1049"/>
      <c r="J286" s="1049"/>
      <c r="K286" s="911"/>
    </row>
    <row r="287" spans="1:11" s="125" customFormat="1" ht="14.25" hidden="1" customHeight="1" outlineLevel="1">
      <c r="A287" s="902"/>
      <c r="B287" s="1054"/>
      <c r="C287" s="1050"/>
      <c r="D287" s="1050"/>
      <c r="E287" s="1050"/>
      <c r="F287" s="120"/>
      <c r="G287" s="121"/>
      <c r="H287" s="1050"/>
      <c r="I287" s="1050"/>
      <c r="J287" s="1050"/>
      <c r="K287" s="911"/>
    </row>
    <row r="288" spans="1:11" s="125" customFormat="1" ht="15" hidden="1" customHeight="1" outlineLevel="1" thickBot="1">
      <c r="A288" s="902"/>
      <c r="B288" s="1058"/>
      <c r="C288" s="1052"/>
      <c r="D288" s="1052"/>
      <c r="E288" s="1052"/>
      <c r="F288" s="122"/>
      <c r="G288" s="123"/>
      <c r="H288" s="1052"/>
      <c r="I288" s="1052"/>
      <c r="J288" s="1052"/>
      <c r="K288" s="911"/>
    </row>
    <row r="289" spans="1:11" s="125" customFormat="1" ht="14.25" hidden="1" customHeight="1" outlineLevel="1">
      <c r="A289" s="902"/>
      <c r="B289" s="1053">
        <v>93</v>
      </c>
      <c r="C289" s="1056"/>
      <c r="D289" s="1057"/>
      <c r="E289" s="1056"/>
      <c r="F289" s="118"/>
      <c r="G289" s="119"/>
      <c r="H289" s="1056"/>
      <c r="I289" s="1049"/>
      <c r="J289" s="1049"/>
      <c r="K289" s="911"/>
    </row>
    <row r="290" spans="1:11" s="125" customFormat="1" ht="14.25" hidden="1" customHeight="1" outlineLevel="1">
      <c r="A290" s="902"/>
      <c r="B290" s="1054"/>
      <c r="C290" s="1050"/>
      <c r="D290" s="1050"/>
      <c r="E290" s="1050"/>
      <c r="F290" s="120"/>
      <c r="G290" s="121"/>
      <c r="H290" s="1050"/>
      <c r="I290" s="1050"/>
      <c r="J290" s="1050"/>
      <c r="K290" s="911"/>
    </row>
    <row r="291" spans="1:11" s="125" customFormat="1" ht="15" hidden="1" customHeight="1" outlineLevel="1" thickBot="1">
      <c r="A291" s="902"/>
      <c r="B291" s="1058"/>
      <c r="C291" s="1052"/>
      <c r="D291" s="1052"/>
      <c r="E291" s="1052"/>
      <c r="F291" s="122"/>
      <c r="G291" s="123"/>
      <c r="H291" s="1052"/>
      <c r="I291" s="1052"/>
      <c r="J291" s="1052"/>
      <c r="K291" s="911"/>
    </row>
    <row r="292" spans="1:11" s="125" customFormat="1" ht="14.25" hidden="1" customHeight="1" outlineLevel="1">
      <c r="A292" s="902"/>
      <c r="B292" s="1053">
        <v>94</v>
      </c>
      <c r="C292" s="1056"/>
      <c r="D292" s="1057"/>
      <c r="E292" s="1056"/>
      <c r="F292" s="118"/>
      <c r="G292" s="119"/>
      <c r="H292" s="1056"/>
      <c r="I292" s="1049"/>
      <c r="J292" s="1049"/>
      <c r="K292" s="911"/>
    </row>
    <row r="293" spans="1:11" s="125" customFormat="1" ht="14.25" hidden="1" customHeight="1" outlineLevel="1">
      <c r="A293" s="902"/>
      <c r="B293" s="1054"/>
      <c r="C293" s="1050"/>
      <c r="D293" s="1050"/>
      <c r="E293" s="1050"/>
      <c r="F293" s="120"/>
      <c r="G293" s="121"/>
      <c r="H293" s="1050"/>
      <c r="I293" s="1050"/>
      <c r="J293" s="1050"/>
      <c r="K293" s="911"/>
    </row>
    <row r="294" spans="1:11" s="125" customFormat="1" ht="15" hidden="1" customHeight="1" outlineLevel="1" thickBot="1">
      <c r="A294" s="902"/>
      <c r="B294" s="1058"/>
      <c r="C294" s="1052"/>
      <c r="D294" s="1052"/>
      <c r="E294" s="1052"/>
      <c r="F294" s="122"/>
      <c r="G294" s="123"/>
      <c r="H294" s="1052"/>
      <c r="I294" s="1052"/>
      <c r="J294" s="1052"/>
      <c r="K294" s="911"/>
    </row>
    <row r="295" spans="1:11" s="125" customFormat="1" ht="14.25" hidden="1" customHeight="1" outlineLevel="1">
      <c r="A295" s="902"/>
      <c r="B295" s="1053">
        <v>95</v>
      </c>
      <c r="C295" s="1056"/>
      <c r="D295" s="1057"/>
      <c r="E295" s="1056"/>
      <c r="F295" s="118"/>
      <c r="G295" s="119"/>
      <c r="H295" s="1056"/>
      <c r="I295" s="1049"/>
      <c r="J295" s="1049"/>
      <c r="K295" s="911"/>
    </row>
    <row r="296" spans="1:11" s="125" customFormat="1" ht="14.25" hidden="1" customHeight="1" outlineLevel="1">
      <c r="A296" s="902"/>
      <c r="B296" s="1054"/>
      <c r="C296" s="1050"/>
      <c r="D296" s="1050"/>
      <c r="E296" s="1050"/>
      <c r="F296" s="120"/>
      <c r="G296" s="121"/>
      <c r="H296" s="1050"/>
      <c r="I296" s="1050"/>
      <c r="J296" s="1050"/>
      <c r="K296" s="911"/>
    </row>
    <row r="297" spans="1:11" s="125" customFormat="1" ht="15" hidden="1" customHeight="1" outlineLevel="1" thickBot="1">
      <c r="A297" s="902"/>
      <c r="B297" s="1058"/>
      <c r="C297" s="1052"/>
      <c r="D297" s="1052"/>
      <c r="E297" s="1052"/>
      <c r="F297" s="122"/>
      <c r="G297" s="123"/>
      <c r="H297" s="1052"/>
      <c r="I297" s="1052"/>
      <c r="J297" s="1052"/>
      <c r="K297" s="911"/>
    </row>
    <row r="298" spans="1:11" s="125" customFormat="1" ht="14.25" hidden="1" customHeight="1" outlineLevel="1">
      <c r="A298" s="902"/>
      <c r="B298" s="1053">
        <v>96</v>
      </c>
      <c r="C298" s="1056"/>
      <c r="D298" s="1057"/>
      <c r="E298" s="1056"/>
      <c r="F298" s="118"/>
      <c r="G298" s="119"/>
      <c r="H298" s="1056"/>
      <c r="I298" s="1049"/>
      <c r="J298" s="1049"/>
      <c r="K298" s="911"/>
    </row>
    <row r="299" spans="1:11" s="125" customFormat="1" ht="14.25" hidden="1" customHeight="1" outlineLevel="1">
      <c r="A299" s="902"/>
      <c r="B299" s="1054"/>
      <c r="C299" s="1050"/>
      <c r="D299" s="1050"/>
      <c r="E299" s="1050"/>
      <c r="F299" s="120"/>
      <c r="G299" s="121"/>
      <c r="H299" s="1050"/>
      <c r="I299" s="1050"/>
      <c r="J299" s="1050"/>
      <c r="K299" s="911"/>
    </row>
    <row r="300" spans="1:11" s="125" customFormat="1" ht="15" hidden="1" customHeight="1" outlineLevel="1" thickBot="1">
      <c r="A300" s="902"/>
      <c r="B300" s="1058"/>
      <c r="C300" s="1052"/>
      <c r="D300" s="1052"/>
      <c r="E300" s="1052"/>
      <c r="F300" s="122"/>
      <c r="G300" s="123"/>
      <c r="H300" s="1052"/>
      <c r="I300" s="1052"/>
      <c r="J300" s="1052"/>
      <c r="K300" s="911"/>
    </row>
    <row r="301" spans="1:11" s="125" customFormat="1" ht="14.25" hidden="1" customHeight="1" outlineLevel="1">
      <c r="A301" s="902"/>
      <c r="B301" s="1053">
        <v>97</v>
      </c>
      <c r="C301" s="1056"/>
      <c r="D301" s="1057"/>
      <c r="E301" s="1056"/>
      <c r="F301" s="118"/>
      <c r="G301" s="119"/>
      <c r="H301" s="1056"/>
      <c r="I301" s="1049"/>
      <c r="J301" s="1049"/>
      <c r="K301" s="911"/>
    </row>
    <row r="302" spans="1:11" s="125" customFormat="1" ht="14.25" hidden="1" customHeight="1" outlineLevel="1">
      <c r="A302" s="902"/>
      <c r="B302" s="1054"/>
      <c r="C302" s="1050"/>
      <c r="D302" s="1050"/>
      <c r="E302" s="1050"/>
      <c r="F302" s="120"/>
      <c r="G302" s="121"/>
      <c r="H302" s="1050"/>
      <c r="I302" s="1050"/>
      <c r="J302" s="1050"/>
      <c r="K302" s="911"/>
    </row>
    <row r="303" spans="1:11" s="125" customFormat="1" ht="15" hidden="1" customHeight="1" outlineLevel="1" thickBot="1">
      <c r="A303" s="902"/>
      <c r="B303" s="1058"/>
      <c r="C303" s="1052"/>
      <c r="D303" s="1052"/>
      <c r="E303" s="1052"/>
      <c r="F303" s="122"/>
      <c r="G303" s="123"/>
      <c r="H303" s="1052"/>
      <c r="I303" s="1052"/>
      <c r="J303" s="1052"/>
      <c r="K303" s="911"/>
    </row>
    <row r="304" spans="1:11" s="125" customFormat="1" ht="14.25" hidden="1" customHeight="1" outlineLevel="1">
      <c r="A304" s="902"/>
      <c r="B304" s="1053">
        <v>98</v>
      </c>
      <c r="C304" s="1056"/>
      <c r="D304" s="1057"/>
      <c r="E304" s="1056"/>
      <c r="F304" s="118"/>
      <c r="G304" s="119"/>
      <c r="H304" s="1056"/>
      <c r="I304" s="1049"/>
      <c r="J304" s="1049"/>
      <c r="K304" s="911"/>
    </row>
    <row r="305" spans="1:11" s="125" customFormat="1" ht="14.25" hidden="1" customHeight="1" outlineLevel="1">
      <c r="A305" s="902"/>
      <c r="B305" s="1054"/>
      <c r="C305" s="1050"/>
      <c r="D305" s="1050"/>
      <c r="E305" s="1050"/>
      <c r="F305" s="120"/>
      <c r="G305" s="121"/>
      <c r="H305" s="1050"/>
      <c r="I305" s="1050"/>
      <c r="J305" s="1050"/>
      <c r="K305" s="911"/>
    </row>
    <row r="306" spans="1:11" s="125" customFormat="1" ht="15" hidden="1" customHeight="1" outlineLevel="1" thickBot="1">
      <c r="A306" s="902"/>
      <c r="B306" s="1058"/>
      <c r="C306" s="1052"/>
      <c r="D306" s="1052"/>
      <c r="E306" s="1052"/>
      <c r="F306" s="122"/>
      <c r="G306" s="123"/>
      <c r="H306" s="1052"/>
      <c r="I306" s="1052"/>
      <c r="J306" s="1052"/>
      <c r="K306" s="911"/>
    </row>
    <row r="307" spans="1:11" s="125" customFormat="1" ht="14.25" hidden="1" customHeight="1" outlineLevel="1">
      <c r="A307" s="902"/>
      <c r="B307" s="1053">
        <v>99</v>
      </c>
      <c r="C307" s="1056"/>
      <c r="D307" s="1057"/>
      <c r="E307" s="1056"/>
      <c r="F307" s="118"/>
      <c r="G307" s="119"/>
      <c r="H307" s="1056"/>
      <c r="I307" s="1049"/>
      <c r="J307" s="1049"/>
      <c r="K307" s="911"/>
    </row>
    <row r="308" spans="1:11" s="125" customFormat="1" ht="14.25" hidden="1" customHeight="1" outlineLevel="1">
      <c r="A308" s="902"/>
      <c r="B308" s="1054"/>
      <c r="C308" s="1050"/>
      <c r="D308" s="1050"/>
      <c r="E308" s="1050"/>
      <c r="F308" s="120"/>
      <c r="G308" s="121"/>
      <c r="H308" s="1050"/>
      <c r="I308" s="1050"/>
      <c r="J308" s="1050"/>
      <c r="K308" s="911"/>
    </row>
    <row r="309" spans="1:11" s="125" customFormat="1" ht="15" hidden="1" customHeight="1" outlineLevel="1" thickBot="1">
      <c r="A309" s="902"/>
      <c r="B309" s="1058"/>
      <c r="C309" s="1052"/>
      <c r="D309" s="1052"/>
      <c r="E309" s="1052"/>
      <c r="F309" s="122"/>
      <c r="G309" s="123"/>
      <c r="H309" s="1052"/>
      <c r="I309" s="1052"/>
      <c r="J309" s="1052"/>
      <c r="K309" s="911"/>
    </row>
    <row r="310" spans="1:11" s="125" customFormat="1" ht="14.25" hidden="1" customHeight="1" outlineLevel="1">
      <c r="A310" s="902"/>
      <c r="B310" s="1053">
        <v>100</v>
      </c>
      <c r="C310" s="1056"/>
      <c r="D310" s="1057"/>
      <c r="E310" s="1056"/>
      <c r="F310" s="118"/>
      <c r="G310" s="119"/>
      <c r="H310" s="1056"/>
      <c r="I310" s="1049"/>
      <c r="J310" s="1049"/>
      <c r="K310" s="911"/>
    </row>
    <row r="311" spans="1:11" s="125" customFormat="1" ht="14.25" hidden="1" customHeight="1" outlineLevel="1">
      <c r="A311" s="902"/>
      <c r="B311" s="1054"/>
      <c r="C311" s="1050"/>
      <c r="D311" s="1050"/>
      <c r="E311" s="1050"/>
      <c r="F311" s="120"/>
      <c r="G311" s="121"/>
      <c r="H311" s="1050"/>
      <c r="I311" s="1050"/>
      <c r="J311" s="1050"/>
      <c r="K311" s="911"/>
    </row>
    <row r="312" spans="1:11" s="125" customFormat="1" ht="15" hidden="1" customHeight="1" outlineLevel="1" thickBot="1">
      <c r="A312" s="902"/>
      <c r="B312" s="1058"/>
      <c r="C312" s="1052"/>
      <c r="D312" s="1052"/>
      <c r="E312" s="1052"/>
      <c r="F312" s="122"/>
      <c r="G312" s="123"/>
      <c r="H312" s="1052"/>
      <c r="I312" s="1052"/>
      <c r="J312" s="1052"/>
      <c r="K312" s="911"/>
    </row>
    <row r="313" spans="1:11" s="125" customFormat="1" ht="14.25" hidden="1" customHeight="1" outlineLevel="1">
      <c r="A313" s="902"/>
      <c r="B313" s="1053">
        <v>101</v>
      </c>
      <c r="C313" s="1056"/>
      <c r="D313" s="1057"/>
      <c r="E313" s="1056"/>
      <c r="F313" s="118"/>
      <c r="G313" s="119"/>
      <c r="H313" s="1056"/>
      <c r="I313" s="1049"/>
      <c r="J313" s="1049"/>
      <c r="K313" s="911"/>
    </row>
    <row r="314" spans="1:11" s="125" customFormat="1" ht="14.25" hidden="1" customHeight="1" outlineLevel="1">
      <c r="A314" s="902"/>
      <c r="B314" s="1054"/>
      <c r="C314" s="1050"/>
      <c r="D314" s="1050"/>
      <c r="E314" s="1050"/>
      <c r="F314" s="120"/>
      <c r="G314" s="121"/>
      <c r="H314" s="1050"/>
      <c r="I314" s="1050"/>
      <c r="J314" s="1050"/>
      <c r="K314" s="911"/>
    </row>
    <row r="315" spans="1:11" s="125" customFormat="1" ht="15" hidden="1" customHeight="1" outlineLevel="1" thickBot="1">
      <c r="A315" s="902"/>
      <c r="B315" s="1058"/>
      <c r="C315" s="1052"/>
      <c r="D315" s="1052"/>
      <c r="E315" s="1052"/>
      <c r="F315" s="122"/>
      <c r="G315" s="123"/>
      <c r="H315" s="1052"/>
      <c r="I315" s="1052"/>
      <c r="J315" s="1052"/>
      <c r="K315" s="911"/>
    </row>
    <row r="316" spans="1:11" s="125" customFormat="1" ht="14.25" hidden="1" customHeight="1" outlineLevel="1">
      <c r="A316" s="902"/>
      <c r="B316" s="1053">
        <v>102</v>
      </c>
      <c r="C316" s="1056"/>
      <c r="D316" s="1057"/>
      <c r="E316" s="1056"/>
      <c r="F316" s="118"/>
      <c r="G316" s="119"/>
      <c r="H316" s="1056"/>
      <c r="I316" s="1049"/>
      <c r="J316" s="1049"/>
      <c r="K316" s="911"/>
    </row>
    <row r="317" spans="1:11" s="125" customFormat="1" ht="14.25" hidden="1" customHeight="1" outlineLevel="1">
      <c r="A317" s="902"/>
      <c r="B317" s="1054"/>
      <c r="C317" s="1050"/>
      <c r="D317" s="1050"/>
      <c r="E317" s="1050"/>
      <c r="F317" s="120"/>
      <c r="G317" s="121"/>
      <c r="H317" s="1050"/>
      <c r="I317" s="1050"/>
      <c r="J317" s="1050"/>
      <c r="K317" s="911"/>
    </row>
    <row r="318" spans="1:11" s="125" customFormat="1" ht="15" hidden="1" customHeight="1" outlineLevel="1" thickBot="1">
      <c r="A318" s="902"/>
      <c r="B318" s="1058"/>
      <c r="C318" s="1052"/>
      <c r="D318" s="1052"/>
      <c r="E318" s="1052"/>
      <c r="F318" s="122"/>
      <c r="G318" s="123"/>
      <c r="H318" s="1052"/>
      <c r="I318" s="1052"/>
      <c r="J318" s="1052"/>
      <c r="K318" s="911"/>
    </row>
    <row r="319" spans="1:11" s="125" customFormat="1" ht="14.25" hidden="1" customHeight="1" outlineLevel="1">
      <c r="A319" s="902"/>
      <c r="B319" s="1053">
        <v>103</v>
      </c>
      <c r="C319" s="1056"/>
      <c r="D319" s="1057"/>
      <c r="E319" s="1056"/>
      <c r="F319" s="118"/>
      <c r="G319" s="119"/>
      <c r="H319" s="1056"/>
      <c r="I319" s="1049"/>
      <c r="J319" s="1049"/>
      <c r="K319" s="911"/>
    </row>
    <row r="320" spans="1:11" s="125" customFormat="1" ht="14.25" hidden="1" customHeight="1" outlineLevel="1">
      <c r="A320" s="902"/>
      <c r="B320" s="1054"/>
      <c r="C320" s="1050"/>
      <c r="D320" s="1050"/>
      <c r="E320" s="1050"/>
      <c r="F320" s="120"/>
      <c r="G320" s="121"/>
      <c r="H320" s="1050"/>
      <c r="I320" s="1050"/>
      <c r="J320" s="1050"/>
      <c r="K320" s="911"/>
    </row>
    <row r="321" spans="1:11" s="125" customFormat="1" ht="15" hidden="1" customHeight="1" outlineLevel="1" thickBot="1">
      <c r="A321" s="902"/>
      <c r="B321" s="1058"/>
      <c r="C321" s="1052"/>
      <c r="D321" s="1052"/>
      <c r="E321" s="1052"/>
      <c r="F321" s="122"/>
      <c r="G321" s="123"/>
      <c r="H321" s="1052"/>
      <c r="I321" s="1052"/>
      <c r="J321" s="1052"/>
      <c r="K321" s="911"/>
    </row>
    <row r="322" spans="1:11" s="125" customFormat="1" ht="14.25" hidden="1" customHeight="1" outlineLevel="1">
      <c r="A322" s="902"/>
      <c r="B322" s="1053">
        <v>104</v>
      </c>
      <c r="C322" s="1056"/>
      <c r="D322" s="1057"/>
      <c r="E322" s="1056"/>
      <c r="F322" s="118"/>
      <c r="G322" s="119"/>
      <c r="H322" s="1056"/>
      <c r="I322" s="1049"/>
      <c r="J322" s="1049"/>
      <c r="K322" s="911"/>
    </row>
    <row r="323" spans="1:11" s="125" customFormat="1" ht="14.25" hidden="1" customHeight="1" outlineLevel="1">
      <c r="A323" s="902"/>
      <c r="B323" s="1054"/>
      <c r="C323" s="1050"/>
      <c r="D323" s="1050"/>
      <c r="E323" s="1050"/>
      <c r="F323" s="120"/>
      <c r="G323" s="121"/>
      <c r="H323" s="1050"/>
      <c r="I323" s="1050"/>
      <c r="J323" s="1050"/>
      <c r="K323" s="911"/>
    </row>
    <row r="324" spans="1:11" s="125" customFormat="1" ht="15" hidden="1" customHeight="1" outlineLevel="1" thickBot="1">
      <c r="A324" s="902"/>
      <c r="B324" s="1058"/>
      <c r="C324" s="1052"/>
      <c r="D324" s="1052"/>
      <c r="E324" s="1052"/>
      <c r="F324" s="122"/>
      <c r="G324" s="123"/>
      <c r="H324" s="1052"/>
      <c r="I324" s="1052"/>
      <c r="J324" s="1052"/>
      <c r="K324" s="911"/>
    </row>
    <row r="325" spans="1:11" s="125" customFormat="1" ht="14.25" hidden="1" customHeight="1" outlineLevel="1">
      <c r="A325" s="902"/>
      <c r="B325" s="1053">
        <v>105</v>
      </c>
      <c r="C325" s="1056"/>
      <c r="D325" s="1057"/>
      <c r="E325" s="1056"/>
      <c r="F325" s="118"/>
      <c r="G325" s="119"/>
      <c r="H325" s="1056"/>
      <c r="I325" s="1049"/>
      <c r="J325" s="1049"/>
      <c r="K325" s="911"/>
    </row>
    <row r="326" spans="1:11" s="125" customFormat="1" ht="14.25" hidden="1" customHeight="1" outlineLevel="1">
      <c r="A326" s="902"/>
      <c r="B326" s="1054"/>
      <c r="C326" s="1050"/>
      <c r="D326" s="1050"/>
      <c r="E326" s="1050"/>
      <c r="F326" s="120"/>
      <c r="G326" s="121"/>
      <c r="H326" s="1050"/>
      <c r="I326" s="1050"/>
      <c r="J326" s="1050"/>
      <c r="K326" s="911"/>
    </row>
    <row r="327" spans="1:11" s="125" customFormat="1" ht="15" hidden="1" customHeight="1" outlineLevel="1" thickBot="1">
      <c r="A327" s="902"/>
      <c r="B327" s="1058"/>
      <c r="C327" s="1052"/>
      <c r="D327" s="1052"/>
      <c r="E327" s="1052"/>
      <c r="F327" s="122"/>
      <c r="G327" s="123"/>
      <c r="H327" s="1052"/>
      <c r="I327" s="1052"/>
      <c r="J327" s="1052"/>
      <c r="K327" s="911"/>
    </row>
    <row r="328" spans="1:11" s="125" customFormat="1" ht="14.25" hidden="1" customHeight="1" outlineLevel="1">
      <c r="A328" s="902"/>
      <c r="B328" s="1053">
        <v>106</v>
      </c>
      <c r="C328" s="1056"/>
      <c r="D328" s="1057"/>
      <c r="E328" s="1056"/>
      <c r="F328" s="118"/>
      <c r="G328" s="119"/>
      <c r="H328" s="1056"/>
      <c r="I328" s="1049"/>
      <c r="J328" s="1049"/>
      <c r="K328" s="911"/>
    </row>
    <row r="329" spans="1:11" s="125" customFormat="1" ht="14.25" hidden="1" customHeight="1" outlineLevel="1">
      <c r="A329" s="902"/>
      <c r="B329" s="1054"/>
      <c r="C329" s="1050"/>
      <c r="D329" s="1050"/>
      <c r="E329" s="1050"/>
      <c r="F329" s="120"/>
      <c r="G329" s="121"/>
      <c r="H329" s="1050"/>
      <c r="I329" s="1050"/>
      <c r="J329" s="1050"/>
      <c r="K329" s="911"/>
    </row>
    <row r="330" spans="1:11" s="125" customFormat="1" ht="15" hidden="1" customHeight="1" outlineLevel="1" thickBot="1">
      <c r="A330" s="902"/>
      <c r="B330" s="1058"/>
      <c r="C330" s="1052"/>
      <c r="D330" s="1052"/>
      <c r="E330" s="1052"/>
      <c r="F330" s="122"/>
      <c r="G330" s="123"/>
      <c r="H330" s="1052"/>
      <c r="I330" s="1052"/>
      <c r="J330" s="1052"/>
      <c r="K330" s="911"/>
    </row>
    <row r="331" spans="1:11" s="125" customFormat="1" ht="14.25" hidden="1" customHeight="1" outlineLevel="1">
      <c r="A331" s="902"/>
      <c r="B331" s="1053">
        <v>107</v>
      </c>
      <c r="C331" s="1056"/>
      <c r="D331" s="1057"/>
      <c r="E331" s="1056"/>
      <c r="F331" s="118"/>
      <c r="G331" s="119"/>
      <c r="H331" s="1056"/>
      <c r="I331" s="1049"/>
      <c r="J331" s="1049"/>
      <c r="K331" s="911"/>
    </row>
    <row r="332" spans="1:11" s="125" customFormat="1" ht="14.25" hidden="1" customHeight="1" outlineLevel="1">
      <c r="A332" s="902"/>
      <c r="B332" s="1054"/>
      <c r="C332" s="1050"/>
      <c r="D332" s="1050"/>
      <c r="E332" s="1050"/>
      <c r="F332" s="120"/>
      <c r="G332" s="121"/>
      <c r="H332" s="1050"/>
      <c r="I332" s="1050"/>
      <c r="J332" s="1050"/>
      <c r="K332" s="911"/>
    </row>
    <row r="333" spans="1:11" s="125" customFormat="1" ht="15" hidden="1" customHeight="1" outlineLevel="1" thickBot="1">
      <c r="A333" s="902"/>
      <c r="B333" s="1058"/>
      <c r="C333" s="1052"/>
      <c r="D333" s="1052"/>
      <c r="E333" s="1052"/>
      <c r="F333" s="122"/>
      <c r="G333" s="123"/>
      <c r="H333" s="1052"/>
      <c r="I333" s="1052"/>
      <c r="J333" s="1052"/>
      <c r="K333" s="911"/>
    </row>
    <row r="334" spans="1:11" s="125" customFormat="1" ht="14.25" hidden="1" customHeight="1" outlineLevel="1">
      <c r="A334" s="902"/>
      <c r="B334" s="1053">
        <v>108</v>
      </c>
      <c r="C334" s="1056"/>
      <c r="D334" s="1057"/>
      <c r="E334" s="1056"/>
      <c r="F334" s="118"/>
      <c r="G334" s="119"/>
      <c r="H334" s="1056"/>
      <c r="I334" s="1049"/>
      <c r="J334" s="1049"/>
      <c r="K334" s="911"/>
    </row>
    <row r="335" spans="1:11" s="125" customFormat="1" ht="14.25" hidden="1" customHeight="1" outlineLevel="1">
      <c r="A335" s="902"/>
      <c r="B335" s="1054"/>
      <c r="C335" s="1050"/>
      <c r="D335" s="1050"/>
      <c r="E335" s="1050"/>
      <c r="F335" s="120"/>
      <c r="G335" s="121"/>
      <c r="H335" s="1050"/>
      <c r="I335" s="1050"/>
      <c r="J335" s="1050"/>
      <c r="K335" s="911"/>
    </row>
    <row r="336" spans="1:11" s="125" customFormat="1" ht="15" hidden="1" customHeight="1" outlineLevel="1" thickBot="1">
      <c r="A336" s="902"/>
      <c r="B336" s="1058"/>
      <c r="C336" s="1052"/>
      <c r="D336" s="1052"/>
      <c r="E336" s="1052"/>
      <c r="F336" s="122"/>
      <c r="G336" s="123"/>
      <c r="H336" s="1052"/>
      <c r="I336" s="1052"/>
      <c r="J336" s="1052"/>
      <c r="K336" s="911"/>
    </row>
    <row r="337" spans="1:11" s="125" customFormat="1" ht="14.25" hidden="1" customHeight="1" outlineLevel="1">
      <c r="A337" s="902"/>
      <c r="B337" s="1053">
        <v>109</v>
      </c>
      <c r="C337" s="1056"/>
      <c r="D337" s="1057"/>
      <c r="E337" s="1056"/>
      <c r="F337" s="118"/>
      <c r="G337" s="119"/>
      <c r="H337" s="1056"/>
      <c r="I337" s="1049"/>
      <c r="J337" s="1049"/>
      <c r="K337" s="911"/>
    </row>
    <row r="338" spans="1:11" s="125" customFormat="1" ht="14.25" hidden="1" customHeight="1" outlineLevel="1">
      <c r="A338" s="902"/>
      <c r="B338" s="1054"/>
      <c r="C338" s="1050"/>
      <c r="D338" s="1050"/>
      <c r="E338" s="1050"/>
      <c r="F338" s="120"/>
      <c r="G338" s="121"/>
      <c r="H338" s="1050"/>
      <c r="I338" s="1050"/>
      <c r="J338" s="1050"/>
      <c r="K338" s="911"/>
    </row>
    <row r="339" spans="1:11" s="125" customFormat="1" ht="15" hidden="1" customHeight="1" outlineLevel="1" thickBot="1">
      <c r="A339" s="902"/>
      <c r="B339" s="1058"/>
      <c r="C339" s="1052"/>
      <c r="D339" s="1052"/>
      <c r="E339" s="1052"/>
      <c r="F339" s="122"/>
      <c r="G339" s="123"/>
      <c r="H339" s="1052"/>
      <c r="I339" s="1052"/>
      <c r="J339" s="1052"/>
      <c r="K339" s="911"/>
    </row>
    <row r="340" spans="1:11" s="125" customFormat="1" ht="14.25" hidden="1" customHeight="1" outlineLevel="1">
      <c r="A340" s="902"/>
      <c r="B340" s="1053">
        <v>110</v>
      </c>
      <c r="C340" s="1056"/>
      <c r="D340" s="1057"/>
      <c r="E340" s="1056"/>
      <c r="F340" s="118"/>
      <c r="G340" s="119"/>
      <c r="H340" s="1056"/>
      <c r="I340" s="1049"/>
      <c r="J340" s="1049"/>
      <c r="K340" s="911"/>
    </row>
    <row r="341" spans="1:11" s="125" customFormat="1" ht="14.25" hidden="1" customHeight="1" outlineLevel="1">
      <c r="A341" s="902"/>
      <c r="B341" s="1054"/>
      <c r="C341" s="1050"/>
      <c r="D341" s="1050"/>
      <c r="E341" s="1050"/>
      <c r="F341" s="120"/>
      <c r="G341" s="121"/>
      <c r="H341" s="1050"/>
      <c r="I341" s="1050"/>
      <c r="J341" s="1050"/>
      <c r="K341" s="911"/>
    </row>
    <row r="342" spans="1:11" s="125" customFormat="1" ht="15" hidden="1" customHeight="1" outlineLevel="1" thickBot="1">
      <c r="A342" s="902"/>
      <c r="B342" s="1058"/>
      <c r="C342" s="1052"/>
      <c r="D342" s="1052"/>
      <c r="E342" s="1052"/>
      <c r="F342" s="122"/>
      <c r="G342" s="123"/>
      <c r="H342" s="1052"/>
      <c r="I342" s="1052"/>
      <c r="J342" s="1052"/>
      <c r="K342" s="911"/>
    </row>
    <row r="343" spans="1:11" s="125" customFormat="1" ht="14.25" hidden="1" customHeight="1" outlineLevel="1">
      <c r="A343" s="902"/>
      <c r="B343" s="1053">
        <v>111</v>
      </c>
      <c r="C343" s="1056"/>
      <c r="D343" s="1057"/>
      <c r="E343" s="1056"/>
      <c r="F343" s="118"/>
      <c r="G343" s="119"/>
      <c r="H343" s="1056"/>
      <c r="I343" s="1049"/>
      <c r="J343" s="1049"/>
      <c r="K343" s="911"/>
    </row>
    <row r="344" spans="1:11" s="125" customFormat="1" ht="14.25" hidden="1" customHeight="1" outlineLevel="1">
      <c r="A344" s="902"/>
      <c r="B344" s="1054"/>
      <c r="C344" s="1050"/>
      <c r="D344" s="1050"/>
      <c r="E344" s="1050"/>
      <c r="F344" s="120"/>
      <c r="G344" s="121"/>
      <c r="H344" s="1050"/>
      <c r="I344" s="1050"/>
      <c r="J344" s="1050"/>
      <c r="K344" s="911"/>
    </row>
    <row r="345" spans="1:11" s="125" customFormat="1" ht="15" hidden="1" customHeight="1" outlineLevel="1" thickBot="1">
      <c r="A345" s="902"/>
      <c r="B345" s="1058"/>
      <c r="C345" s="1052"/>
      <c r="D345" s="1052"/>
      <c r="E345" s="1052"/>
      <c r="F345" s="122"/>
      <c r="G345" s="123"/>
      <c r="H345" s="1052"/>
      <c r="I345" s="1052"/>
      <c r="J345" s="1052"/>
      <c r="K345" s="911"/>
    </row>
    <row r="346" spans="1:11" s="125" customFormat="1" ht="14.25" hidden="1" customHeight="1" outlineLevel="1">
      <c r="A346" s="902"/>
      <c r="B346" s="1053">
        <v>112</v>
      </c>
      <c r="C346" s="1056"/>
      <c r="D346" s="1057"/>
      <c r="E346" s="1056"/>
      <c r="F346" s="118"/>
      <c r="G346" s="119"/>
      <c r="H346" s="1056"/>
      <c r="I346" s="1049"/>
      <c r="J346" s="1049"/>
      <c r="K346" s="911"/>
    </row>
    <row r="347" spans="1:11" s="125" customFormat="1" ht="14.25" hidden="1" customHeight="1" outlineLevel="1">
      <c r="A347" s="902"/>
      <c r="B347" s="1054"/>
      <c r="C347" s="1050"/>
      <c r="D347" s="1050"/>
      <c r="E347" s="1050"/>
      <c r="F347" s="120"/>
      <c r="G347" s="121"/>
      <c r="H347" s="1050"/>
      <c r="I347" s="1050"/>
      <c r="J347" s="1050"/>
      <c r="K347" s="911"/>
    </row>
    <row r="348" spans="1:11" s="125" customFormat="1" ht="15" hidden="1" customHeight="1" outlineLevel="1" thickBot="1">
      <c r="A348" s="902"/>
      <c r="B348" s="1058"/>
      <c r="C348" s="1052"/>
      <c r="D348" s="1052"/>
      <c r="E348" s="1052"/>
      <c r="F348" s="122"/>
      <c r="G348" s="123"/>
      <c r="H348" s="1052"/>
      <c r="I348" s="1052"/>
      <c r="J348" s="1052"/>
      <c r="K348" s="911"/>
    </row>
    <row r="349" spans="1:11" s="125" customFormat="1" ht="14.25" hidden="1" customHeight="1" outlineLevel="1">
      <c r="A349" s="902"/>
      <c r="B349" s="1053">
        <v>113</v>
      </c>
      <c r="C349" s="1056"/>
      <c r="D349" s="1057"/>
      <c r="E349" s="1056"/>
      <c r="F349" s="118"/>
      <c r="G349" s="119"/>
      <c r="H349" s="1056"/>
      <c r="I349" s="1049"/>
      <c r="J349" s="1049"/>
      <c r="K349" s="911"/>
    </row>
    <row r="350" spans="1:11" s="125" customFormat="1" ht="14.25" hidden="1" customHeight="1" outlineLevel="1">
      <c r="A350" s="902"/>
      <c r="B350" s="1054"/>
      <c r="C350" s="1050"/>
      <c r="D350" s="1050"/>
      <c r="E350" s="1050"/>
      <c r="F350" s="120"/>
      <c r="G350" s="121"/>
      <c r="H350" s="1050"/>
      <c r="I350" s="1050"/>
      <c r="J350" s="1050"/>
      <c r="K350" s="911"/>
    </row>
    <row r="351" spans="1:11" s="125" customFormat="1" ht="15" hidden="1" customHeight="1" outlineLevel="1" thickBot="1">
      <c r="A351" s="902"/>
      <c r="B351" s="1058"/>
      <c r="C351" s="1052"/>
      <c r="D351" s="1052"/>
      <c r="E351" s="1052"/>
      <c r="F351" s="122"/>
      <c r="G351" s="123"/>
      <c r="H351" s="1052"/>
      <c r="I351" s="1052"/>
      <c r="J351" s="1052"/>
      <c r="K351" s="911"/>
    </row>
    <row r="352" spans="1:11" s="125" customFormat="1" ht="14.25" hidden="1" customHeight="1" outlineLevel="1">
      <c r="A352" s="902"/>
      <c r="B352" s="1053">
        <v>114</v>
      </c>
      <c r="C352" s="1056"/>
      <c r="D352" s="1057"/>
      <c r="E352" s="1056"/>
      <c r="F352" s="118"/>
      <c r="G352" s="119"/>
      <c r="H352" s="1056"/>
      <c r="I352" s="1049"/>
      <c r="J352" s="1049"/>
      <c r="K352" s="911"/>
    </row>
    <row r="353" spans="1:11" s="125" customFormat="1" ht="14.25" hidden="1" customHeight="1" outlineLevel="1">
      <c r="A353" s="902"/>
      <c r="B353" s="1054"/>
      <c r="C353" s="1050"/>
      <c r="D353" s="1050"/>
      <c r="E353" s="1050"/>
      <c r="F353" s="120"/>
      <c r="G353" s="121"/>
      <c r="H353" s="1050"/>
      <c r="I353" s="1050"/>
      <c r="J353" s="1050"/>
      <c r="K353" s="911"/>
    </row>
    <row r="354" spans="1:11" s="125" customFormat="1" ht="15" hidden="1" customHeight="1" outlineLevel="1" thickBot="1">
      <c r="A354" s="902"/>
      <c r="B354" s="1058"/>
      <c r="C354" s="1052"/>
      <c r="D354" s="1052"/>
      <c r="E354" s="1052"/>
      <c r="F354" s="122"/>
      <c r="G354" s="123"/>
      <c r="H354" s="1052"/>
      <c r="I354" s="1052"/>
      <c r="J354" s="1052"/>
      <c r="K354" s="911"/>
    </row>
    <row r="355" spans="1:11" s="125" customFormat="1" ht="14.25" hidden="1" customHeight="1" outlineLevel="1">
      <c r="A355" s="902"/>
      <c r="B355" s="1053">
        <v>115</v>
      </c>
      <c r="C355" s="1056"/>
      <c r="D355" s="1057"/>
      <c r="E355" s="1056"/>
      <c r="F355" s="118"/>
      <c r="G355" s="119"/>
      <c r="H355" s="1056"/>
      <c r="I355" s="1049"/>
      <c r="J355" s="1049"/>
      <c r="K355" s="911"/>
    </row>
    <row r="356" spans="1:11" s="125" customFormat="1" ht="14.25" hidden="1" customHeight="1" outlineLevel="1">
      <c r="A356" s="902"/>
      <c r="B356" s="1054"/>
      <c r="C356" s="1050"/>
      <c r="D356" s="1050"/>
      <c r="E356" s="1050"/>
      <c r="F356" s="120"/>
      <c r="G356" s="121"/>
      <c r="H356" s="1050"/>
      <c r="I356" s="1050"/>
      <c r="J356" s="1050"/>
      <c r="K356" s="911"/>
    </row>
    <row r="357" spans="1:11" s="125" customFormat="1" ht="15" hidden="1" customHeight="1" outlineLevel="1" thickBot="1">
      <c r="A357" s="902"/>
      <c r="B357" s="1058"/>
      <c r="C357" s="1052"/>
      <c r="D357" s="1052"/>
      <c r="E357" s="1052"/>
      <c r="F357" s="122"/>
      <c r="G357" s="123"/>
      <c r="H357" s="1052"/>
      <c r="I357" s="1052"/>
      <c r="J357" s="1052"/>
      <c r="K357" s="911"/>
    </row>
    <row r="358" spans="1:11" s="125" customFormat="1" ht="14.25" hidden="1" customHeight="1" outlineLevel="1">
      <c r="A358" s="902"/>
      <c r="B358" s="1053">
        <v>116</v>
      </c>
      <c r="C358" s="1056"/>
      <c r="D358" s="1057"/>
      <c r="E358" s="1056"/>
      <c r="F358" s="118"/>
      <c r="G358" s="119"/>
      <c r="H358" s="1056"/>
      <c r="I358" s="1049"/>
      <c r="J358" s="1049"/>
      <c r="K358" s="911"/>
    </row>
    <row r="359" spans="1:11" s="125" customFormat="1" ht="14.25" hidden="1" customHeight="1" outlineLevel="1">
      <c r="A359" s="902"/>
      <c r="B359" s="1054"/>
      <c r="C359" s="1050"/>
      <c r="D359" s="1050"/>
      <c r="E359" s="1050"/>
      <c r="F359" s="120"/>
      <c r="G359" s="121"/>
      <c r="H359" s="1050"/>
      <c r="I359" s="1050"/>
      <c r="J359" s="1050"/>
      <c r="K359" s="911"/>
    </row>
    <row r="360" spans="1:11" s="125" customFormat="1" ht="15" hidden="1" customHeight="1" outlineLevel="1" thickBot="1">
      <c r="A360" s="902"/>
      <c r="B360" s="1058"/>
      <c r="C360" s="1052"/>
      <c r="D360" s="1052"/>
      <c r="E360" s="1052"/>
      <c r="F360" s="122"/>
      <c r="G360" s="123"/>
      <c r="H360" s="1052"/>
      <c r="I360" s="1052"/>
      <c r="J360" s="1052"/>
      <c r="K360" s="911"/>
    </row>
    <row r="361" spans="1:11" s="125" customFormat="1" ht="14.25" hidden="1" customHeight="1" outlineLevel="1">
      <c r="A361" s="902"/>
      <c r="B361" s="1053">
        <v>117</v>
      </c>
      <c r="C361" s="1056"/>
      <c r="D361" s="1057"/>
      <c r="E361" s="1056"/>
      <c r="F361" s="118"/>
      <c r="G361" s="119"/>
      <c r="H361" s="1056"/>
      <c r="I361" s="1049"/>
      <c r="J361" s="1049"/>
      <c r="K361" s="911"/>
    </row>
    <row r="362" spans="1:11" s="125" customFormat="1" ht="14.25" hidden="1" customHeight="1" outlineLevel="1">
      <c r="A362" s="902"/>
      <c r="B362" s="1054"/>
      <c r="C362" s="1050"/>
      <c r="D362" s="1050"/>
      <c r="E362" s="1050"/>
      <c r="F362" s="120"/>
      <c r="G362" s="121"/>
      <c r="H362" s="1050"/>
      <c r="I362" s="1050"/>
      <c r="J362" s="1050"/>
      <c r="K362" s="911"/>
    </row>
    <row r="363" spans="1:11" s="125" customFormat="1" ht="15" hidden="1" customHeight="1" outlineLevel="1" thickBot="1">
      <c r="A363" s="902"/>
      <c r="B363" s="1058"/>
      <c r="C363" s="1052"/>
      <c r="D363" s="1052"/>
      <c r="E363" s="1052"/>
      <c r="F363" s="122"/>
      <c r="G363" s="123"/>
      <c r="H363" s="1052"/>
      <c r="I363" s="1052"/>
      <c r="J363" s="1052"/>
      <c r="K363" s="911"/>
    </row>
    <row r="364" spans="1:11" s="125" customFormat="1" ht="14.25" hidden="1" customHeight="1" outlineLevel="1">
      <c r="A364" s="902"/>
      <c r="B364" s="1053">
        <v>118</v>
      </c>
      <c r="C364" s="1056"/>
      <c r="D364" s="1057"/>
      <c r="E364" s="1056"/>
      <c r="F364" s="118"/>
      <c r="G364" s="119"/>
      <c r="H364" s="1056"/>
      <c r="I364" s="1049"/>
      <c r="J364" s="1049"/>
      <c r="K364" s="911"/>
    </row>
    <row r="365" spans="1:11" s="125" customFormat="1" ht="14.25" hidden="1" customHeight="1" outlineLevel="1">
      <c r="A365" s="902"/>
      <c r="B365" s="1054"/>
      <c r="C365" s="1050"/>
      <c r="D365" s="1050"/>
      <c r="E365" s="1050"/>
      <c r="F365" s="120"/>
      <c r="G365" s="121"/>
      <c r="H365" s="1050"/>
      <c r="I365" s="1050"/>
      <c r="J365" s="1050"/>
      <c r="K365" s="911"/>
    </row>
    <row r="366" spans="1:11" s="125" customFormat="1" ht="15" hidden="1" customHeight="1" outlineLevel="1" thickBot="1">
      <c r="A366" s="902"/>
      <c r="B366" s="1058"/>
      <c r="C366" s="1052"/>
      <c r="D366" s="1052"/>
      <c r="E366" s="1052"/>
      <c r="F366" s="122"/>
      <c r="G366" s="123"/>
      <c r="H366" s="1052"/>
      <c r="I366" s="1052"/>
      <c r="J366" s="1052"/>
      <c r="K366" s="911"/>
    </row>
    <row r="367" spans="1:11" s="125" customFormat="1" ht="14.25" hidden="1" customHeight="1" outlineLevel="1">
      <c r="A367" s="902"/>
      <c r="B367" s="1053">
        <v>119</v>
      </c>
      <c r="C367" s="1056"/>
      <c r="D367" s="1057"/>
      <c r="E367" s="1056"/>
      <c r="F367" s="118"/>
      <c r="G367" s="119"/>
      <c r="H367" s="1056"/>
      <c r="I367" s="1049"/>
      <c r="J367" s="1049"/>
      <c r="K367" s="911"/>
    </row>
    <row r="368" spans="1:11" s="125" customFormat="1" ht="14.25" hidden="1" customHeight="1" outlineLevel="1">
      <c r="A368" s="902"/>
      <c r="B368" s="1054"/>
      <c r="C368" s="1050"/>
      <c r="D368" s="1050"/>
      <c r="E368" s="1050"/>
      <c r="F368" s="120"/>
      <c r="G368" s="121"/>
      <c r="H368" s="1050"/>
      <c r="I368" s="1050"/>
      <c r="J368" s="1050"/>
      <c r="K368" s="911"/>
    </row>
    <row r="369" spans="1:11" s="125" customFormat="1" ht="15" hidden="1" customHeight="1" outlineLevel="1" thickBot="1">
      <c r="A369" s="902"/>
      <c r="B369" s="1058"/>
      <c r="C369" s="1052"/>
      <c r="D369" s="1052"/>
      <c r="E369" s="1052"/>
      <c r="F369" s="122"/>
      <c r="G369" s="123"/>
      <c r="H369" s="1052"/>
      <c r="I369" s="1052"/>
      <c r="J369" s="1052"/>
      <c r="K369" s="911"/>
    </row>
    <row r="370" spans="1:11" s="125" customFormat="1" ht="14.25" hidden="1" customHeight="1" outlineLevel="1">
      <c r="A370" s="902"/>
      <c r="B370" s="1053">
        <v>120</v>
      </c>
      <c r="C370" s="1056"/>
      <c r="D370" s="1057"/>
      <c r="E370" s="1056"/>
      <c r="F370" s="118"/>
      <c r="G370" s="119"/>
      <c r="H370" s="1056"/>
      <c r="I370" s="1049"/>
      <c r="J370" s="1049"/>
      <c r="K370" s="911"/>
    </row>
    <row r="371" spans="1:11" s="125" customFormat="1" ht="14.25" hidden="1" customHeight="1" outlineLevel="1">
      <c r="A371" s="902"/>
      <c r="B371" s="1054"/>
      <c r="C371" s="1050"/>
      <c r="D371" s="1050"/>
      <c r="E371" s="1050"/>
      <c r="F371" s="120"/>
      <c r="G371" s="121"/>
      <c r="H371" s="1050"/>
      <c r="I371" s="1050"/>
      <c r="J371" s="1050"/>
      <c r="K371" s="911"/>
    </row>
    <row r="372" spans="1:11" s="125" customFormat="1" ht="15" hidden="1" customHeight="1" outlineLevel="1" thickBot="1">
      <c r="A372" s="902"/>
      <c r="B372" s="1058"/>
      <c r="C372" s="1052"/>
      <c r="D372" s="1052"/>
      <c r="E372" s="1052"/>
      <c r="F372" s="122"/>
      <c r="G372" s="123"/>
      <c r="H372" s="1052"/>
      <c r="I372" s="1052"/>
      <c r="J372" s="1052"/>
      <c r="K372" s="911"/>
    </row>
    <row r="373" spans="1:11" s="125" customFormat="1" ht="14.25" hidden="1" customHeight="1" outlineLevel="1">
      <c r="A373" s="902"/>
      <c r="B373" s="1053">
        <v>121</v>
      </c>
      <c r="C373" s="1056"/>
      <c r="D373" s="1057"/>
      <c r="E373" s="1056"/>
      <c r="F373" s="118"/>
      <c r="G373" s="119"/>
      <c r="H373" s="1056"/>
      <c r="I373" s="1049"/>
      <c r="J373" s="1049"/>
      <c r="K373" s="911"/>
    </row>
    <row r="374" spans="1:11" s="125" customFormat="1" ht="14.25" hidden="1" customHeight="1" outlineLevel="1">
      <c r="A374" s="902"/>
      <c r="B374" s="1054"/>
      <c r="C374" s="1050"/>
      <c r="D374" s="1050"/>
      <c r="E374" s="1050"/>
      <c r="F374" s="120"/>
      <c r="G374" s="121"/>
      <c r="H374" s="1050"/>
      <c r="I374" s="1050"/>
      <c r="J374" s="1050"/>
      <c r="K374" s="911"/>
    </row>
    <row r="375" spans="1:11" s="125" customFormat="1" ht="15" hidden="1" customHeight="1" outlineLevel="1" thickBot="1">
      <c r="A375" s="902"/>
      <c r="B375" s="1058"/>
      <c r="C375" s="1052"/>
      <c r="D375" s="1052"/>
      <c r="E375" s="1052"/>
      <c r="F375" s="122"/>
      <c r="G375" s="123"/>
      <c r="H375" s="1052"/>
      <c r="I375" s="1052"/>
      <c r="J375" s="1052"/>
      <c r="K375" s="911"/>
    </row>
    <row r="376" spans="1:11" s="125" customFormat="1" ht="14.25" hidden="1" customHeight="1" outlineLevel="1">
      <c r="A376" s="902"/>
      <c r="B376" s="1053">
        <v>122</v>
      </c>
      <c r="C376" s="1056"/>
      <c r="D376" s="1057"/>
      <c r="E376" s="1056"/>
      <c r="F376" s="118"/>
      <c r="G376" s="119"/>
      <c r="H376" s="1056"/>
      <c r="I376" s="1049"/>
      <c r="J376" s="1049"/>
      <c r="K376" s="911"/>
    </row>
    <row r="377" spans="1:11" s="125" customFormat="1" ht="14.25" hidden="1" customHeight="1" outlineLevel="1">
      <c r="A377" s="902"/>
      <c r="B377" s="1054"/>
      <c r="C377" s="1050"/>
      <c r="D377" s="1050"/>
      <c r="E377" s="1050"/>
      <c r="F377" s="120"/>
      <c r="G377" s="121"/>
      <c r="H377" s="1050"/>
      <c r="I377" s="1050"/>
      <c r="J377" s="1050"/>
      <c r="K377" s="911"/>
    </row>
    <row r="378" spans="1:11" s="125" customFormat="1" ht="15" hidden="1" customHeight="1" outlineLevel="1" thickBot="1">
      <c r="A378" s="902"/>
      <c r="B378" s="1058"/>
      <c r="C378" s="1052"/>
      <c r="D378" s="1052"/>
      <c r="E378" s="1052"/>
      <c r="F378" s="122"/>
      <c r="G378" s="123"/>
      <c r="H378" s="1052"/>
      <c r="I378" s="1052"/>
      <c r="J378" s="1052"/>
      <c r="K378" s="911"/>
    </row>
    <row r="379" spans="1:11" s="125" customFormat="1" ht="14.25" hidden="1" customHeight="1" outlineLevel="1">
      <c r="A379" s="902"/>
      <c r="B379" s="1053">
        <v>123</v>
      </c>
      <c r="C379" s="1056"/>
      <c r="D379" s="1057"/>
      <c r="E379" s="1056"/>
      <c r="F379" s="118"/>
      <c r="G379" s="119"/>
      <c r="H379" s="1056"/>
      <c r="I379" s="1049"/>
      <c r="J379" s="1049"/>
      <c r="K379" s="911"/>
    </row>
    <row r="380" spans="1:11" s="125" customFormat="1" ht="14.25" hidden="1" customHeight="1" outlineLevel="1">
      <c r="A380" s="902"/>
      <c r="B380" s="1054"/>
      <c r="C380" s="1050"/>
      <c r="D380" s="1050"/>
      <c r="E380" s="1050"/>
      <c r="F380" s="120"/>
      <c r="G380" s="121"/>
      <c r="H380" s="1050"/>
      <c r="I380" s="1050"/>
      <c r="J380" s="1050"/>
      <c r="K380" s="911"/>
    </row>
    <row r="381" spans="1:11" s="125" customFormat="1" ht="15" hidden="1" customHeight="1" outlineLevel="1" thickBot="1">
      <c r="A381" s="902"/>
      <c r="B381" s="1058"/>
      <c r="C381" s="1052"/>
      <c r="D381" s="1052"/>
      <c r="E381" s="1052"/>
      <c r="F381" s="122"/>
      <c r="G381" s="123"/>
      <c r="H381" s="1052"/>
      <c r="I381" s="1052"/>
      <c r="J381" s="1052"/>
      <c r="K381" s="911"/>
    </row>
    <row r="382" spans="1:11" s="125" customFormat="1" ht="14.25" hidden="1" customHeight="1" outlineLevel="1">
      <c r="A382" s="902"/>
      <c r="B382" s="1053">
        <v>124</v>
      </c>
      <c r="C382" s="1056"/>
      <c r="D382" s="1057"/>
      <c r="E382" s="1056"/>
      <c r="F382" s="118"/>
      <c r="G382" s="119"/>
      <c r="H382" s="1056"/>
      <c r="I382" s="1049"/>
      <c r="J382" s="1049"/>
      <c r="K382" s="911"/>
    </row>
    <row r="383" spans="1:11" s="125" customFormat="1" ht="14.25" hidden="1" customHeight="1" outlineLevel="1">
      <c r="A383" s="902"/>
      <c r="B383" s="1054"/>
      <c r="C383" s="1050"/>
      <c r="D383" s="1050"/>
      <c r="E383" s="1050"/>
      <c r="F383" s="120"/>
      <c r="G383" s="121"/>
      <c r="H383" s="1050"/>
      <c r="I383" s="1050"/>
      <c r="J383" s="1050"/>
      <c r="K383" s="911"/>
    </row>
    <row r="384" spans="1:11" s="125" customFormat="1" ht="15" hidden="1" customHeight="1" outlineLevel="1" thickBot="1">
      <c r="A384" s="902"/>
      <c r="B384" s="1058"/>
      <c r="C384" s="1052"/>
      <c r="D384" s="1052"/>
      <c r="E384" s="1052"/>
      <c r="F384" s="122"/>
      <c r="G384" s="123"/>
      <c r="H384" s="1052"/>
      <c r="I384" s="1052"/>
      <c r="J384" s="1052"/>
      <c r="K384" s="911"/>
    </row>
    <row r="385" spans="1:11" s="125" customFormat="1" ht="14.25" hidden="1" customHeight="1" outlineLevel="1">
      <c r="A385" s="902"/>
      <c r="B385" s="1053">
        <v>125</v>
      </c>
      <c r="C385" s="1056"/>
      <c r="D385" s="1057"/>
      <c r="E385" s="1056"/>
      <c r="F385" s="118"/>
      <c r="G385" s="119"/>
      <c r="H385" s="1056"/>
      <c r="I385" s="1049"/>
      <c r="J385" s="1049"/>
      <c r="K385" s="911"/>
    </row>
    <row r="386" spans="1:11" s="125" customFormat="1" ht="14.25" hidden="1" customHeight="1" outlineLevel="1">
      <c r="A386" s="902"/>
      <c r="B386" s="1054"/>
      <c r="C386" s="1050"/>
      <c r="D386" s="1050"/>
      <c r="E386" s="1050"/>
      <c r="F386" s="120"/>
      <c r="G386" s="121"/>
      <c r="H386" s="1050"/>
      <c r="I386" s="1050"/>
      <c r="J386" s="1050"/>
      <c r="K386" s="911"/>
    </row>
    <row r="387" spans="1:11" s="125" customFormat="1" ht="15" hidden="1" customHeight="1" outlineLevel="1" thickBot="1">
      <c r="A387" s="902"/>
      <c r="B387" s="1058"/>
      <c r="C387" s="1052"/>
      <c r="D387" s="1052"/>
      <c r="E387" s="1052"/>
      <c r="F387" s="122"/>
      <c r="G387" s="123"/>
      <c r="H387" s="1052"/>
      <c r="I387" s="1052"/>
      <c r="J387" s="1052"/>
      <c r="K387" s="911"/>
    </row>
    <row r="388" spans="1:11" s="125" customFormat="1" ht="14.25" hidden="1" customHeight="1" outlineLevel="1">
      <c r="A388" s="902"/>
      <c r="B388" s="1053">
        <v>126</v>
      </c>
      <c r="C388" s="1056"/>
      <c r="D388" s="1057"/>
      <c r="E388" s="1056"/>
      <c r="F388" s="118"/>
      <c r="G388" s="119"/>
      <c r="H388" s="1056"/>
      <c r="I388" s="1049"/>
      <c r="J388" s="1049"/>
      <c r="K388" s="911"/>
    </row>
    <row r="389" spans="1:11" s="125" customFormat="1" ht="14.25" hidden="1" customHeight="1" outlineLevel="1">
      <c r="A389" s="902"/>
      <c r="B389" s="1054"/>
      <c r="C389" s="1050"/>
      <c r="D389" s="1050"/>
      <c r="E389" s="1050"/>
      <c r="F389" s="120"/>
      <c r="G389" s="121"/>
      <c r="H389" s="1050"/>
      <c r="I389" s="1050"/>
      <c r="J389" s="1050"/>
      <c r="K389" s="911"/>
    </row>
    <row r="390" spans="1:11" s="125" customFormat="1" ht="15" hidden="1" customHeight="1" outlineLevel="1" thickBot="1">
      <c r="A390" s="902"/>
      <c r="B390" s="1058"/>
      <c r="C390" s="1052"/>
      <c r="D390" s="1052"/>
      <c r="E390" s="1052"/>
      <c r="F390" s="122"/>
      <c r="G390" s="123"/>
      <c r="H390" s="1052"/>
      <c r="I390" s="1052"/>
      <c r="J390" s="1052"/>
      <c r="K390" s="911"/>
    </row>
    <row r="391" spans="1:11" s="125" customFormat="1" ht="14.25" hidden="1" customHeight="1" outlineLevel="1">
      <c r="A391" s="902"/>
      <c r="B391" s="1053">
        <v>127</v>
      </c>
      <c r="C391" s="1056"/>
      <c r="D391" s="1057"/>
      <c r="E391" s="1056"/>
      <c r="F391" s="118"/>
      <c r="G391" s="119"/>
      <c r="H391" s="1056"/>
      <c r="I391" s="1049"/>
      <c r="J391" s="1049"/>
      <c r="K391" s="911"/>
    </row>
    <row r="392" spans="1:11" s="125" customFormat="1" ht="14.25" hidden="1" customHeight="1" outlineLevel="1">
      <c r="A392" s="902"/>
      <c r="B392" s="1054"/>
      <c r="C392" s="1050"/>
      <c r="D392" s="1050"/>
      <c r="E392" s="1050"/>
      <c r="F392" s="120"/>
      <c r="G392" s="121"/>
      <c r="H392" s="1050"/>
      <c r="I392" s="1050"/>
      <c r="J392" s="1050"/>
      <c r="K392" s="911"/>
    </row>
    <row r="393" spans="1:11" s="125" customFormat="1" ht="15" hidden="1" customHeight="1" outlineLevel="1" thickBot="1">
      <c r="A393" s="902"/>
      <c r="B393" s="1058"/>
      <c r="C393" s="1052"/>
      <c r="D393" s="1052"/>
      <c r="E393" s="1052"/>
      <c r="F393" s="122"/>
      <c r="G393" s="123"/>
      <c r="H393" s="1052"/>
      <c r="I393" s="1052"/>
      <c r="J393" s="1052"/>
      <c r="K393" s="911"/>
    </row>
    <row r="394" spans="1:11" s="125" customFormat="1" ht="14.25" hidden="1" customHeight="1" outlineLevel="1">
      <c r="A394" s="902"/>
      <c r="B394" s="1053">
        <v>128</v>
      </c>
      <c r="C394" s="1056"/>
      <c r="D394" s="1057"/>
      <c r="E394" s="1056"/>
      <c r="F394" s="118"/>
      <c r="G394" s="119"/>
      <c r="H394" s="1056"/>
      <c r="I394" s="1049"/>
      <c r="J394" s="1049"/>
      <c r="K394" s="911"/>
    </row>
    <row r="395" spans="1:11" s="125" customFormat="1" ht="14.25" hidden="1" customHeight="1" outlineLevel="1">
      <c r="A395" s="902"/>
      <c r="B395" s="1054"/>
      <c r="C395" s="1050"/>
      <c r="D395" s="1050"/>
      <c r="E395" s="1050"/>
      <c r="F395" s="120"/>
      <c r="G395" s="121"/>
      <c r="H395" s="1050"/>
      <c r="I395" s="1050"/>
      <c r="J395" s="1050"/>
      <c r="K395" s="911"/>
    </row>
    <row r="396" spans="1:11" s="125" customFormat="1" ht="15" hidden="1" customHeight="1" outlineLevel="1" thickBot="1">
      <c r="A396" s="902"/>
      <c r="B396" s="1058"/>
      <c r="C396" s="1052"/>
      <c r="D396" s="1052"/>
      <c r="E396" s="1052"/>
      <c r="F396" s="122"/>
      <c r="G396" s="123"/>
      <c r="H396" s="1052"/>
      <c r="I396" s="1052"/>
      <c r="J396" s="1052"/>
      <c r="K396" s="911"/>
    </row>
    <row r="397" spans="1:11" s="125" customFormat="1" ht="14.25" hidden="1" customHeight="1" outlineLevel="1">
      <c r="A397" s="902"/>
      <c r="B397" s="1053">
        <v>129</v>
      </c>
      <c r="C397" s="1056"/>
      <c r="D397" s="1057"/>
      <c r="E397" s="1056"/>
      <c r="F397" s="118"/>
      <c r="G397" s="119"/>
      <c r="H397" s="1056"/>
      <c r="I397" s="1049"/>
      <c r="J397" s="1049"/>
      <c r="K397" s="911"/>
    </row>
    <row r="398" spans="1:11" s="125" customFormat="1" ht="14.25" hidden="1" customHeight="1" outlineLevel="1">
      <c r="A398" s="902"/>
      <c r="B398" s="1054"/>
      <c r="C398" s="1050"/>
      <c r="D398" s="1050"/>
      <c r="E398" s="1050"/>
      <c r="F398" s="120"/>
      <c r="G398" s="121"/>
      <c r="H398" s="1050"/>
      <c r="I398" s="1050"/>
      <c r="J398" s="1050"/>
      <c r="K398" s="911"/>
    </row>
    <row r="399" spans="1:11" s="125" customFormat="1" ht="15" hidden="1" customHeight="1" outlineLevel="1" thickBot="1">
      <c r="A399" s="902"/>
      <c r="B399" s="1058"/>
      <c r="C399" s="1052"/>
      <c r="D399" s="1052"/>
      <c r="E399" s="1052"/>
      <c r="F399" s="122"/>
      <c r="G399" s="123"/>
      <c r="H399" s="1052"/>
      <c r="I399" s="1052"/>
      <c r="J399" s="1052"/>
      <c r="K399" s="911"/>
    </row>
    <row r="400" spans="1:11" s="125" customFormat="1" ht="14.25" hidden="1" customHeight="1" outlineLevel="1">
      <c r="A400" s="902"/>
      <c r="B400" s="1053">
        <v>130</v>
      </c>
      <c r="C400" s="1056"/>
      <c r="D400" s="1057"/>
      <c r="E400" s="1056"/>
      <c r="F400" s="118"/>
      <c r="G400" s="119"/>
      <c r="H400" s="1056"/>
      <c r="I400" s="1049"/>
      <c r="J400" s="1049"/>
      <c r="K400" s="911"/>
    </row>
    <row r="401" spans="1:11" s="125" customFormat="1" ht="14.25" hidden="1" customHeight="1" outlineLevel="1">
      <c r="A401" s="902"/>
      <c r="B401" s="1054"/>
      <c r="C401" s="1050"/>
      <c r="D401" s="1050"/>
      <c r="E401" s="1050"/>
      <c r="F401" s="120"/>
      <c r="G401" s="121"/>
      <c r="H401" s="1050"/>
      <c r="I401" s="1050"/>
      <c r="J401" s="1050"/>
      <c r="K401" s="911"/>
    </row>
    <row r="402" spans="1:11" s="125" customFormat="1" ht="15" hidden="1" customHeight="1" outlineLevel="1" thickBot="1">
      <c r="A402" s="902"/>
      <c r="B402" s="1058"/>
      <c r="C402" s="1052"/>
      <c r="D402" s="1052"/>
      <c r="E402" s="1052"/>
      <c r="F402" s="122"/>
      <c r="G402" s="123"/>
      <c r="H402" s="1052"/>
      <c r="I402" s="1052"/>
      <c r="J402" s="1052"/>
      <c r="K402" s="911"/>
    </row>
    <row r="403" spans="1:11" s="125" customFormat="1" ht="14.25" hidden="1" customHeight="1" outlineLevel="1">
      <c r="A403" s="902"/>
      <c r="B403" s="1053">
        <v>131</v>
      </c>
      <c r="C403" s="1056"/>
      <c r="D403" s="1057"/>
      <c r="E403" s="1056"/>
      <c r="F403" s="118"/>
      <c r="G403" s="119"/>
      <c r="H403" s="1056"/>
      <c r="I403" s="1049"/>
      <c r="J403" s="1049"/>
      <c r="K403" s="911"/>
    </row>
    <row r="404" spans="1:11" s="125" customFormat="1" ht="14.25" hidden="1" customHeight="1" outlineLevel="1">
      <c r="A404" s="902"/>
      <c r="B404" s="1054"/>
      <c r="C404" s="1050"/>
      <c r="D404" s="1050"/>
      <c r="E404" s="1050"/>
      <c r="F404" s="120"/>
      <c r="G404" s="121"/>
      <c r="H404" s="1050"/>
      <c r="I404" s="1050"/>
      <c r="J404" s="1050"/>
      <c r="K404" s="911"/>
    </row>
    <row r="405" spans="1:11" s="125" customFormat="1" ht="15" hidden="1" customHeight="1" outlineLevel="1" thickBot="1">
      <c r="A405" s="902"/>
      <c r="B405" s="1058"/>
      <c r="C405" s="1052"/>
      <c r="D405" s="1052"/>
      <c r="E405" s="1052"/>
      <c r="F405" s="122"/>
      <c r="G405" s="123"/>
      <c r="H405" s="1052"/>
      <c r="I405" s="1052"/>
      <c r="J405" s="1052"/>
      <c r="K405" s="911"/>
    </row>
    <row r="406" spans="1:11" s="125" customFormat="1" ht="14.25" hidden="1" customHeight="1" outlineLevel="1">
      <c r="A406" s="902"/>
      <c r="B406" s="1053">
        <v>132</v>
      </c>
      <c r="C406" s="1056"/>
      <c r="D406" s="1057"/>
      <c r="E406" s="1056"/>
      <c r="F406" s="118"/>
      <c r="G406" s="119"/>
      <c r="H406" s="1056"/>
      <c r="I406" s="1049"/>
      <c r="J406" s="1049"/>
      <c r="K406" s="911"/>
    </row>
    <row r="407" spans="1:11" s="125" customFormat="1" ht="14.25" hidden="1" customHeight="1" outlineLevel="1">
      <c r="A407" s="902"/>
      <c r="B407" s="1054"/>
      <c r="C407" s="1050"/>
      <c r="D407" s="1050"/>
      <c r="E407" s="1050"/>
      <c r="F407" s="120"/>
      <c r="G407" s="121"/>
      <c r="H407" s="1050"/>
      <c r="I407" s="1050"/>
      <c r="J407" s="1050"/>
      <c r="K407" s="911"/>
    </row>
    <row r="408" spans="1:11" s="125" customFormat="1" ht="15" hidden="1" customHeight="1" outlineLevel="1" thickBot="1">
      <c r="A408" s="902"/>
      <c r="B408" s="1058"/>
      <c r="C408" s="1052"/>
      <c r="D408" s="1052"/>
      <c r="E408" s="1052"/>
      <c r="F408" s="122"/>
      <c r="G408" s="123"/>
      <c r="H408" s="1052"/>
      <c r="I408" s="1052"/>
      <c r="J408" s="1052"/>
      <c r="K408" s="911"/>
    </row>
    <row r="409" spans="1:11" s="125" customFormat="1" ht="14.25" hidden="1" customHeight="1" outlineLevel="1">
      <c r="A409" s="902"/>
      <c r="B409" s="1053">
        <v>133</v>
      </c>
      <c r="C409" s="1056"/>
      <c r="D409" s="1057"/>
      <c r="E409" s="1056"/>
      <c r="F409" s="118"/>
      <c r="G409" s="119"/>
      <c r="H409" s="1056"/>
      <c r="I409" s="1049"/>
      <c r="J409" s="1049"/>
      <c r="K409" s="911"/>
    </row>
    <row r="410" spans="1:11" s="125" customFormat="1" ht="14.25" hidden="1" customHeight="1" outlineLevel="1">
      <c r="A410" s="902"/>
      <c r="B410" s="1054"/>
      <c r="C410" s="1050"/>
      <c r="D410" s="1050"/>
      <c r="E410" s="1050"/>
      <c r="F410" s="120"/>
      <c r="G410" s="121"/>
      <c r="H410" s="1050"/>
      <c r="I410" s="1050"/>
      <c r="J410" s="1050"/>
      <c r="K410" s="911"/>
    </row>
    <row r="411" spans="1:11" s="125" customFormat="1" ht="15" hidden="1" customHeight="1" outlineLevel="1" thickBot="1">
      <c r="A411" s="902"/>
      <c r="B411" s="1058"/>
      <c r="C411" s="1052"/>
      <c r="D411" s="1052"/>
      <c r="E411" s="1052"/>
      <c r="F411" s="122"/>
      <c r="G411" s="123"/>
      <c r="H411" s="1052"/>
      <c r="I411" s="1052"/>
      <c r="J411" s="1052"/>
      <c r="K411" s="911"/>
    </row>
    <row r="412" spans="1:11" s="125" customFormat="1" ht="14.25" hidden="1" customHeight="1" outlineLevel="1">
      <c r="A412" s="902"/>
      <c r="B412" s="1053">
        <v>134</v>
      </c>
      <c r="C412" s="1056"/>
      <c r="D412" s="1057"/>
      <c r="E412" s="1056"/>
      <c r="F412" s="118"/>
      <c r="G412" s="119"/>
      <c r="H412" s="1056"/>
      <c r="I412" s="1049"/>
      <c r="J412" s="1049"/>
      <c r="K412" s="911"/>
    </row>
    <row r="413" spans="1:11" s="125" customFormat="1" ht="14.25" hidden="1" customHeight="1" outlineLevel="1">
      <c r="A413" s="902"/>
      <c r="B413" s="1054"/>
      <c r="C413" s="1050"/>
      <c r="D413" s="1050"/>
      <c r="E413" s="1050"/>
      <c r="F413" s="120"/>
      <c r="G413" s="121"/>
      <c r="H413" s="1050"/>
      <c r="I413" s="1050"/>
      <c r="J413" s="1050"/>
      <c r="K413" s="911"/>
    </row>
    <row r="414" spans="1:11" s="125" customFormat="1" ht="15" hidden="1" customHeight="1" outlineLevel="1" thickBot="1">
      <c r="A414" s="902"/>
      <c r="B414" s="1058"/>
      <c r="C414" s="1052"/>
      <c r="D414" s="1052"/>
      <c r="E414" s="1052"/>
      <c r="F414" s="122"/>
      <c r="G414" s="123"/>
      <c r="H414" s="1052"/>
      <c r="I414" s="1052"/>
      <c r="J414" s="1052"/>
      <c r="K414" s="911"/>
    </row>
    <row r="415" spans="1:11" s="125" customFormat="1" ht="14.25" hidden="1" customHeight="1" outlineLevel="1">
      <c r="A415" s="902"/>
      <c r="B415" s="1053">
        <v>135</v>
      </c>
      <c r="C415" s="1056"/>
      <c r="D415" s="1057"/>
      <c r="E415" s="1056"/>
      <c r="F415" s="118"/>
      <c r="G415" s="119"/>
      <c r="H415" s="1056"/>
      <c r="I415" s="1049"/>
      <c r="J415" s="1049"/>
      <c r="K415" s="911"/>
    </row>
    <row r="416" spans="1:11" s="125" customFormat="1" ht="14.25" hidden="1" customHeight="1" outlineLevel="1">
      <c r="A416" s="902"/>
      <c r="B416" s="1054"/>
      <c r="C416" s="1050"/>
      <c r="D416" s="1050"/>
      <c r="E416" s="1050"/>
      <c r="F416" s="120"/>
      <c r="G416" s="121"/>
      <c r="H416" s="1050"/>
      <c r="I416" s="1050"/>
      <c r="J416" s="1050"/>
      <c r="K416" s="911"/>
    </row>
    <row r="417" spans="1:11" s="125" customFormat="1" ht="15" hidden="1" customHeight="1" outlineLevel="1" thickBot="1">
      <c r="A417" s="902"/>
      <c r="B417" s="1058"/>
      <c r="C417" s="1052"/>
      <c r="D417" s="1052"/>
      <c r="E417" s="1052"/>
      <c r="F417" s="122"/>
      <c r="G417" s="123"/>
      <c r="H417" s="1052"/>
      <c r="I417" s="1052"/>
      <c r="J417" s="1052"/>
      <c r="K417" s="911"/>
    </row>
    <row r="418" spans="1:11" s="125" customFormat="1" ht="14.25" hidden="1" customHeight="1" outlineLevel="1">
      <c r="A418" s="902"/>
      <c r="B418" s="1053">
        <v>136</v>
      </c>
      <c r="C418" s="1056"/>
      <c r="D418" s="1057"/>
      <c r="E418" s="1056"/>
      <c r="F418" s="118"/>
      <c r="G418" s="119"/>
      <c r="H418" s="1056"/>
      <c r="I418" s="1049"/>
      <c r="J418" s="1049"/>
      <c r="K418" s="911"/>
    </row>
    <row r="419" spans="1:11" s="125" customFormat="1" ht="14.25" hidden="1" customHeight="1" outlineLevel="1">
      <c r="A419" s="902"/>
      <c r="B419" s="1054"/>
      <c r="C419" s="1050"/>
      <c r="D419" s="1050"/>
      <c r="E419" s="1050"/>
      <c r="F419" s="120"/>
      <c r="G419" s="121"/>
      <c r="H419" s="1050"/>
      <c r="I419" s="1050"/>
      <c r="J419" s="1050"/>
      <c r="K419" s="911"/>
    </row>
    <row r="420" spans="1:11" s="125" customFormat="1" ht="15" hidden="1" customHeight="1" outlineLevel="1" thickBot="1">
      <c r="A420" s="902"/>
      <c r="B420" s="1058"/>
      <c r="C420" s="1052"/>
      <c r="D420" s="1052"/>
      <c r="E420" s="1052"/>
      <c r="F420" s="122"/>
      <c r="G420" s="123"/>
      <c r="H420" s="1052"/>
      <c r="I420" s="1052"/>
      <c r="J420" s="1052"/>
      <c r="K420" s="911"/>
    </row>
    <row r="421" spans="1:11" s="125" customFormat="1" ht="14.25" hidden="1" customHeight="1" outlineLevel="1">
      <c r="A421" s="902"/>
      <c r="B421" s="1053">
        <v>137</v>
      </c>
      <c r="C421" s="1056"/>
      <c r="D421" s="1057"/>
      <c r="E421" s="1056"/>
      <c r="F421" s="118"/>
      <c r="G421" s="119"/>
      <c r="H421" s="1056"/>
      <c r="I421" s="1049"/>
      <c r="J421" s="1049"/>
      <c r="K421" s="911"/>
    </row>
    <row r="422" spans="1:11" s="125" customFormat="1" ht="14.25" hidden="1" customHeight="1" outlineLevel="1">
      <c r="A422" s="902"/>
      <c r="B422" s="1054"/>
      <c r="C422" s="1050"/>
      <c r="D422" s="1050"/>
      <c r="E422" s="1050"/>
      <c r="F422" s="120"/>
      <c r="G422" s="121"/>
      <c r="H422" s="1050"/>
      <c r="I422" s="1050"/>
      <c r="J422" s="1050"/>
      <c r="K422" s="911"/>
    </row>
    <row r="423" spans="1:11" s="125" customFormat="1" ht="15" hidden="1" customHeight="1" outlineLevel="1" thickBot="1">
      <c r="A423" s="902"/>
      <c r="B423" s="1058"/>
      <c r="C423" s="1052"/>
      <c r="D423" s="1052"/>
      <c r="E423" s="1052"/>
      <c r="F423" s="122"/>
      <c r="G423" s="123"/>
      <c r="H423" s="1052"/>
      <c r="I423" s="1052"/>
      <c r="J423" s="1052"/>
      <c r="K423" s="911"/>
    </row>
    <row r="424" spans="1:11" s="125" customFormat="1" ht="14.25" hidden="1" customHeight="1" outlineLevel="1">
      <c r="A424" s="902"/>
      <c r="B424" s="1053">
        <v>138</v>
      </c>
      <c r="C424" s="1056"/>
      <c r="D424" s="1057"/>
      <c r="E424" s="1056"/>
      <c r="F424" s="118"/>
      <c r="G424" s="119"/>
      <c r="H424" s="1056"/>
      <c r="I424" s="1049"/>
      <c r="J424" s="1049"/>
      <c r="K424" s="911"/>
    </row>
    <row r="425" spans="1:11" s="125" customFormat="1" ht="14.25" hidden="1" customHeight="1" outlineLevel="1">
      <c r="A425" s="902"/>
      <c r="B425" s="1054"/>
      <c r="C425" s="1050"/>
      <c r="D425" s="1050"/>
      <c r="E425" s="1050"/>
      <c r="F425" s="120"/>
      <c r="G425" s="121"/>
      <c r="H425" s="1050"/>
      <c r="I425" s="1050"/>
      <c r="J425" s="1050"/>
      <c r="K425" s="911"/>
    </row>
    <row r="426" spans="1:11" s="125" customFormat="1" ht="15" hidden="1" customHeight="1" outlineLevel="1" thickBot="1">
      <c r="A426" s="902"/>
      <c r="B426" s="1058"/>
      <c r="C426" s="1052"/>
      <c r="D426" s="1052"/>
      <c r="E426" s="1052"/>
      <c r="F426" s="122"/>
      <c r="G426" s="123"/>
      <c r="H426" s="1052"/>
      <c r="I426" s="1052"/>
      <c r="J426" s="1052"/>
      <c r="K426" s="911"/>
    </row>
    <row r="427" spans="1:11" s="125" customFormat="1" ht="14.25" hidden="1" customHeight="1" outlineLevel="1">
      <c r="A427" s="902"/>
      <c r="B427" s="1053">
        <v>139</v>
      </c>
      <c r="C427" s="1056"/>
      <c r="D427" s="1057"/>
      <c r="E427" s="1056"/>
      <c r="F427" s="118"/>
      <c r="G427" s="119"/>
      <c r="H427" s="1056"/>
      <c r="I427" s="1049"/>
      <c r="J427" s="1049"/>
      <c r="K427" s="911"/>
    </row>
    <row r="428" spans="1:11" s="125" customFormat="1" ht="14.25" hidden="1" customHeight="1" outlineLevel="1">
      <c r="A428" s="902"/>
      <c r="B428" s="1054"/>
      <c r="C428" s="1050"/>
      <c r="D428" s="1050"/>
      <c r="E428" s="1050"/>
      <c r="F428" s="120"/>
      <c r="G428" s="121"/>
      <c r="H428" s="1050"/>
      <c r="I428" s="1050"/>
      <c r="J428" s="1050"/>
      <c r="K428" s="911"/>
    </row>
    <row r="429" spans="1:11" s="125" customFormat="1" ht="15" hidden="1" customHeight="1" outlineLevel="1" thickBot="1">
      <c r="A429" s="902"/>
      <c r="B429" s="1058"/>
      <c r="C429" s="1052"/>
      <c r="D429" s="1052"/>
      <c r="E429" s="1052"/>
      <c r="F429" s="122"/>
      <c r="G429" s="123"/>
      <c r="H429" s="1052"/>
      <c r="I429" s="1052"/>
      <c r="J429" s="1052"/>
      <c r="K429" s="911"/>
    </row>
    <row r="430" spans="1:11" s="125" customFormat="1" ht="14.25" hidden="1" customHeight="1" outlineLevel="1">
      <c r="A430" s="902"/>
      <c r="B430" s="1053">
        <v>140</v>
      </c>
      <c r="C430" s="1056"/>
      <c r="D430" s="1057"/>
      <c r="E430" s="1056"/>
      <c r="F430" s="118"/>
      <c r="G430" s="119"/>
      <c r="H430" s="1056"/>
      <c r="I430" s="1049"/>
      <c r="J430" s="1049"/>
      <c r="K430" s="911"/>
    </row>
    <row r="431" spans="1:11" s="125" customFormat="1" ht="14.25" hidden="1" customHeight="1" outlineLevel="1">
      <c r="A431" s="902"/>
      <c r="B431" s="1054"/>
      <c r="C431" s="1050"/>
      <c r="D431" s="1050"/>
      <c r="E431" s="1050"/>
      <c r="F431" s="120"/>
      <c r="G431" s="121"/>
      <c r="H431" s="1050"/>
      <c r="I431" s="1050"/>
      <c r="J431" s="1050"/>
      <c r="K431" s="911"/>
    </row>
    <row r="432" spans="1:11" s="125" customFormat="1" ht="15" hidden="1" customHeight="1" outlineLevel="1" thickBot="1">
      <c r="A432" s="902"/>
      <c r="B432" s="1058"/>
      <c r="C432" s="1052"/>
      <c r="D432" s="1052"/>
      <c r="E432" s="1052"/>
      <c r="F432" s="122"/>
      <c r="G432" s="123"/>
      <c r="H432" s="1052"/>
      <c r="I432" s="1052"/>
      <c r="J432" s="1052"/>
      <c r="K432" s="911"/>
    </row>
    <row r="433" spans="1:11" s="125" customFormat="1" ht="14.25" hidden="1" customHeight="1" outlineLevel="1">
      <c r="A433" s="902"/>
      <c r="B433" s="1053">
        <v>141</v>
      </c>
      <c r="C433" s="1056"/>
      <c r="D433" s="1057"/>
      <c r="E433" s="1056"/>
      <c r="F433" s="118"/>
      <c r="G433" s="119"/>
      <c r="H433" s="1056"/>
      <c r="I433" s="1049"/>
      <c r="J433" s="1049"/>
      <c r="K433" s="911"/>
    </row>
    <row r="434" spans="1:11" s="125" customFormat="1" ht="14.25" hidden="1" customHeight="1" outlineLevel="1">
      <c r="A434" s="902"/>
      <c r="B434" s="1054"/>
      <c r="C434" s="1050"/>
      <c r="D434" s="1050"/>
      <c r="E434" s="1050"/>
      <c r="F434" s="120"/>
      <c r="G434" s="121"/>
      <c r="H434" s="1050"/>
      <c r="I434" s="1050"/>
      <c r="J434" s="1050"/>
      <c r="K434" s="911"/>
    </row>
    <row r="435" spans="1:11" s="125" customFormat="1" ht="15" hidden="1" customHeight="1" outlineLevel="1" thickBot="1">
      <c r="A435" s="902"/>
      <c r="B435" s="1058"/>
      <c r="C435" s="1052"/>
      <c r="D435" s="1052"/>
      <c r="E435" s="1052"/>
      <c r="F435" s="122"/>
      <c r="G435" s="123"/>
      <c r="H435" s="1052"/>
      <c r="I435" s="1052"/>
      <c r="J435" s="1052"/>
      <c r="K435" s="911"/>
    </row>
    <row r="436" spans="1:11" s="125" customFormat="1" ht="14.25" hidden="1" customHeight="1" outlineLevel="1">
      <c r="A436" s="902"/>
      <c r="B436" s="1053">
        <v>142</v>
      </c>
      <c r="C436" s="1056"/>
      <c r="D436" s="1057"/>
      <c r="E436" s="1056"/>
      <c r="F436" s="118"/>
      <c r="G436" s="119"/>
      <c r="H436" s="1056"/>
      <c r="I436" s="1049"/>
      <c r="J436" s="1049"/>
      <c r="K436" s="911"/>
    </row>
    <row r="437" spans="1:11" s="125" customFormat="1" ht="14.25" hidden="1" customHeight="1" outlineLevel="1">
      <c r="A437" s="902"/>
      <c r="B437" s="1054"/>
      <c r="C437" s="1050"/>
      <c r="D437" s="1050"/>
      <c r="E437" s="1050"/>
      <c r="F437" s="120"/>
      <c r="G437" s="121"/>
      <c r="H437" s="1050"/>
      <c r="I437" s="1050"/>
      <c r="J437" s="1050"/>
      <c r="K437" s="911"/>
    </row>
    <row r="438" spans="1:11" s="125" customFormat="1" ht="15" hidden="1" customHeight="1" outlineLevel="1" thickBot="1">
      <c r="A438" s="902"/>
      <c r="B438" s="1058"/>
      <c r="C438" s="1052"/>
      <c r="D438" s="1052"/>
      <c r="E438" s="1052"/>
      <c r="F438" s="122"/>
      <c r="G438" s="123"/>
      <c r="H438" s="1052"/>
      <c r="I438" s="1052"/>
      <c r="J438" s="1052"/>
      <c r="K438" s="911"/>
    </row>
    <row r="439" spans="1:11" s="125" customFormat="1" ht="14.25" hidden="1" customHeight="1" outlineLevel="1">
      <c r="A439" s="902"/>
      <c r="B439" s="1053">
        <v>143</v>
      </c>
      <c r="C439" s="1056"/>
      <c r="D439" s="1057"/>
      <c r="E439" s="1056"/>
      <c r="F439" s="118"/>
      <c r="G439" s="119"/>
      <c r="H439" s="1056"/>
      <c r="I439" s="1049"/>
      <c r="J439" s="1049"/>
      <c r="K439" s="911"/>
    </row>
    <row r="440" spans="1:11" s="125" customFormat="1" ht="14.25" hidden="1" customHeight="1" outlineLevel="1">
      <c r="A440" s="902"/>
      <c r="B440" s="1054"/>
      <c r="C440" s="1050"/>
      <c r="D440" s="1050"/>
      <c r="E440" s="1050"/>
      <c r="F440" s="120"/>
      <c r="G440" s="121"/>
      <c r="H440" s="1050"/>
      <c r="I440" s="1050"/>
      <c r="J440" s="1050"/>
      <c r="K440" s="911"/>
    </row>
    <row r="441" spans="1:11" s="125" customFormat="1" ht="15" hidden="1" customHeight="1" outlineLevel="1" thickBot="1">
      <c r="A441" s="902"/>
      <c r="B441" s="1058"/>
      <c r="C441" s="1052"/>
      <c r="D441" s="1052"/>
      <c r="E441" s="1052"/>
      <c r="F441" s="122"/>
      <c r="G441" s="123"/>
      <c r="H441" s="1052"/>
      <c r="I441" s="1052"/>
      <c r="J441" s="1052"/>
      <c r="K441" s="911"/>
    </row>
    <row r="442" spans="1:11" s="125" customFormat="1" ht="14.25" hidden="1" customHeight="1" outlineLevel="1">
      <c r="A442" s="902"/>
      <c r="B442" s="1053">
        <v>144</v>
      </c>
      <c r="C442" s="1056"/>
      <c r="D442" s="1057"/>
      <c r="E442" s="1056"/>
      <c r="F442" s="118"/>
      <c r="G442" s="119"/>
      <c r="H442" s="1056"/>
      <c r="I442" s="1049"/>
      <c r="J442" s="1049"/>
      <c r="K442" s="911"/>
    </row>
    <row r="443" spans="1:11" s="125" customFormat="1" ht="14.25" hidden="1" customHeight="1" outlineLevel="1">
      <c r="A443" s="902"/>
      <c r="B443" s="1054"/>
      <c r="C443" s="1050"/>
      <c r="D443" s="1050"/>
      <c r="E443" s="1050"/>
      <c r="F443" s="120"/>
      <c r="G443" s="121"/>
      <c r="H443" s="1050"/>
      <c r="I443" s="1050"/>
      <c r="J443" s="1050"/>
      <c r="K443" s="911"/>
    </row>
    <row r="444" spans="1:11" s="125" customFormat="1" ht="15" hidden="1" customHeight="1" outlineLevel="1" thickBot="1">
      <c r="A444" s="902"/>
      <c r="B444" s="1058"/>
      <c r="C444" s="1052"/>
      <c r="D444" s="1052"/>
      <c r="E444" s="1052"/>
      <c r="F444" s="122"/>
      <c r="G444" s="123"/>
      <c r="H444" s="1052"/>
      <c r="I444" s="1052"/>
      <c r="J444" s="1052"/>
      <c r="K444" s="911"/>
    </row>
    <row r="445" spans="1:11" s="125" customFormat="1" ht="14.25" hidden="1" customHeight="1" outlineLevel="1">
      <c r="A445" s="902"/>
      <c r="B445" s="1053">
        <v>145</v>
      </c>
      <c r="C445" s="1056"/>
      <c r="D445" s="1057"/>
      <c r="E445" s="1056"/>
      <c r="F445" s="118"/>
      <c r="G445" s="119"/>
      <c r="H445" s="1056"/>
      <c r="I445" s="1049"/>
      <c r="J445" s="1049"/>
      <c r="K445" s="911"/>
    </row>
    <row r="446" spans="1:11" s="125" customFormat="1" ht="14.25" hidden="1" customHeight="1" outlineLevel="1">
      <c r="A446" s="902"/>
      <c r="B446" s="1054"/>
      <c r="C446" s="1050"/>
      <c r="D446" s="1050"/>
      <c r="E446" s="1050"/>
      <c r="F446" s="120"/>
      <c r="G446" s="121"/>
      <c r="H446" s="1050"/>
      <c r="I446" s="1050"/>
      <c r="J446" s="1050"/>
      <c r="K446" s="911"/>
    </row>
    <row r="447" spans="1:11" s="125" customFormat="1" ht="15" hidden="1" customHeight="1" outlineLevel="1" thickBot="1">
      <c r="A447" s="902"/>
      <c r="B447" s="1058"/>
      <c r="C447" s="1052"/>
      <c r="D447" s="1052"/>
      <c r="E447" s="1052"/>
      <c r="F447" s="122"/>
      <c r="G447" s="123"/>
      <c r="H447" s="1052"/>
      <c r="I447" s="1052"/>
      <c r="J447" s="1052"/>
      <c r="K447" s="911"/>
    </row>
    <row r="448" spans="1:11" s="125" customFormat="1" ht="14.25" hidden="1" customHeight="1" outlineLevel="1">
      <c r="A448" s="902"/>
      <c r="B448" s="1053">
        <v>146</v>
      </c>
      <c r="C448" s="1056"/>
      <c r="D448" s="1057"/>
      <c r="E448" s="1056"/>
      <c r="F448" s="118"/>
      <c r="G448" s="119"/>
      <c r="H448" s="1056"/>
      <c r="I448" s="1049"/>
      <c r="J448" s="1049"/>
      <c r="K448" s="911"/>
    </row>
    <row r="449" spans="1:11" s="125" customFormat="1" ht="14.25" hidden="1" customHeight="1" outlineLevel="1">
      <c r="A449" s="902"/>
      <c r="B449" s="1054"/>
      <c r="C449" s="1050"/>
      <c r="D449" s="1050"/>
      <c r="E449" s="1050"/>
      <c r="F449" s="120"/>
      <c r="G449" s="121"/>
      <c r="H449" s="1050"/>
      <c r="I449" s="1050"/>
      <c r="J449" s="1050"/>
      <c r="K449" s="911"/>
    </row>
    <row r="450" spans="1:11" s="125" customFormat="1" ht="15" hidden="1" customHeight="1" outlineLevel="1" thickBot="1">
      <c r="A450" s="902"/>
      <c r="B450" s="1058"/>
      <c r="C450" s="1052"/>
      <c r="D450" s="1052"/>
      <c r="E450" s="1052"/>
      <c r="F450" s="122"/>
      <c r="G450" s="123"/>
      <c r="H450" s="1052"/>
      <c r="I450" s="1052"/>
      <c r="J450" s="1052"/>
      <c r="K450" s="911"/>
    </row>
    <row r="451" spans="1:11" s="125" customFormat="1" ht="14.25" hidden="1" customHeight="1" outlineLevel="1">
      <c r="A451" s="902"/>
      <c r="B451" s="1053">
        <v>147</v>
      </c>
      <c r="C451" s="1056"/>
      <c r="D451" s="1057"/>
      <c r="E451" s="1056"/>
      <c r="F451" s="118"/>
      <c r="G451" s="119"/>
      <c r="H451" s="1056"/>
      <c r="I451" s="1049"/>
      <c r="J451" s="1049"/>
      <c r="K451" s="911"/>
    </row>
    <row r="452" spans="1:11" s="125" customFormat="1" ht="14.25" hidden="1" customHeight="1" outlineLevel="1">
      <c r="A452" s="902"/>
      <c r="B452" s="1054"/>
      <c r="C452" s="1050"/>
      <c r="D452" s="1050"/>
      <c r="E452" s="1050"/>
      <c r="F452" s="120"/>
      <c r="G452" s="121"/>
      <c r="H452" s="1050"/>
      <c r="I452" s="1050"/>
      <c r="J452" s="1050"/>
      <c r="K452" s="911"/>
    </row>
    <row r="453" spans="1:11" s="125" customFormat="1" ht="15" hidden="1" customHeight="1" outlineLevel="1" thickBot="1">
      <c r="A453" s="902"/>
      <c r="B453" s="1058"/>
      <c r="C453" s="1052"/>
      <c r="D453" s="1052"/>
      <c r="E453" s="1052"/>
      <c r="F453" s="122"/>
      <c r="G453" s="123"/>
      <c r="H453" s="1052"/>
      <c r="I453" s="1052"/>
      <c r="J453" s="1052"/>
      <c r="K453" s="911"/>
    </row>
    <row r="454" spans="1:11" s="125" customFormat="1" ht="14.25" hidden="1" customHeight="1" outlineLevel="1">
      <c r="A454" s="902"/>
      <c r="B454" s="1053">
        <v>148</v>
      </c>
      <c r="C454" s="1056"/>
      <c r="D454" s="1057"/>
      <c r="E454" s="1056"/>
      <c r="F454" s="118"/>
      <c r="G454" s="119"/>
      <c r="H454" s="1056"/>
      <c r="I454" s="1049"/>
      <c r="J454" s="1049"/>
      <c r="K454" s="911"/>
    </row>
    <row r="455" spans="1:11" s="125" customFormat="1" ht="14.25" hidden="1" customHeight="1" outlineLevel="1">
      <c r="A455" s="902"/>
      <c r="B455" s="1054"/>
      <c r="C455" s="1050"/>
      <c r="D455" s="1050"/>
      <c r="E455" s="1050"/>
      <c r="F455" s="120"/>
      <c r="G455" s="121"/>
      <c r="H455" s="1050"/>
      <c r="I455" s="1050"/>
      <c r="J455" s="1050"/>
      <c r="K455" s="911"/>
    </row>
    <row r="456" spans="1:11" s="125" customFormat="1" ht="15" hidden="1" customHeight="1" outlineLevel="1" thickBot="1">
      <c r="A456" s="902"/>
      <c r="B456" s="1058"/>
      <c r="C456" s="1052"/>
      <c r="D456" s="1052"/>
      <c r="E456" s="1052"/>
      <c r="F456" s="122"/>
      <c r="G456" s="123"/>
      <c r="H456" s="1052"/>
      <c r="I456" s="1052"/>
      <c r="J456" s="1052"/>
      <c r="K456" s="911"/>
    </row>
    <row r="457" spans="1:11" s="125" customFormat="1" ht="14.25" hidden="1" customHeight="1" outlineLevel="1">
      <c r="A457" s="902"/>
      <c r="B457" s="1053">
        <v>149</v>
      </c>
      <c r="C457" s="1056"/>
      <c r="D457" s="1057"/>
      <c r="E457" s="1056"/>
      <c r="F457" s="118"/>
      <c r="G457" s="119"/>
      <c r="H457" s="1056"/>
      <c r="I457" s="1049"/>
      <c r="J457" s="1049"/>
      <c r="K457" s="911"/>
    </row>
    <row r="458" spans="1:11" s="125" customFormat="1" ht="14.25" hidden="1" customHeight="1" outlineLevel="1">
      <c r="A458" s="902"/>
      <c r="B458" s="1054"/>
      <c r="C458" s="1050"/>
      <c r="D458" s="1050"/>
      <c r="E458" s="1050"/>
      <c r="F458" s="120"/>
      <c r="G458" s="121"/>
      <c r="H458" s="1050"/>
      <c r="I458" s="1050"/>
      <c r="J458" s="1050"/>
      <c r="K458" s="911"/>
    </row>
    <row r="459" spans="1:11" s="125" customFormat="1" ht="15" hidden="1" customHeight="1" outlineLevel="1" thickBot="1">
      <c r="A459" s="902"/>
      <c r="B459" s="1058"/>
      <c r="C459" s="1052"/>
      <c r="D459" s="1052"/>
      <c r="E459" s="1052"/>
      <c r="F459" s="122"/>
      <c r="G459" s="123"/>
      <c r="H459" s="1052"/>
      <c r="I459" s="1052"/>
      <c r="J459" s="1052"/>
      <c r="K459" s="911"/>
    </row>
    <row r="460" spans="1:11" s="125" customFormat="1" ht="14.25" hidden="1" customHeight="1" outlineLevel="1">
      <c r="A460" s="902"/>
      <c r="B460" s="1053">
        <v>150</v>
      </c>
      <c r="C460" s="1056"/>
      <c r="D460" s="1057"/>
      <c r="E460" s="1056"/>
      <c r="F460" s="118"/>
      <c r="G460" s="119"/>
      <c r="H460" s="1056"/>
      <c r="I460" s="1049"/>
      <c r="J460" s="1049"/>
      <c r="K460" s="911"/>
    </row>
    <row r="461" spans="1:11" s="125" customFormat="1" ht="14.25" hidden="1" customHeight="1" outlineLevel="1">
      <c r="A461" s="902"/>
      <c r="B461" s="1054"/>
      <c r="C461" s="1050"/>
      <c r="D461" s="1050"/>
      <c r="E461" s="1050"/>
      <c r="F461" s="120"/>
      <c r="G461" s="121"/>
      <c r="H461" s="1050"/>
      <c r="I461" s="1050"/>
      <c r="J461" s="1050"/>
      <c r="K461" s="911"/>
    </row>
    <row r="462" spans="1:11" s="125" customFormat="1" ht="15" hidden="1" customHeight="1" outlineLevel="1" thickBot="1">
      <c r="A462" s="902"/>
      <c r="B462" s="1058"/>
      <c r="C462" s="1052"/>
      <c r="D462" s="1052"/>
      <c r="E462" s="1052"/>
      <c r="F462" s="122"/>
      <c r="G462" s="123"/>
      <c r="H462" s="1052"/>
      <c r="I462" s="1052"/>
      <c r="J462" s="1052"/>
      <c r="K462" s="911"/>
    </row>
    <row r="463" spans="1:11" s="125" customFormat="1" ht="14.25" hidden="1" customHeight="1" outlineLevel="1">
      <c r="A463" s="902"/>
      <c r="B463" s="1053">
        <v>151</v>
      </c>
      <c r="C463" s="1056"/>
      <c r="D463" s="1057"/>
      <c r="E463" s="1056"/>
      <c r="F463" s="118"/>
      <c r="G463" s="119"/>
      <c r="H463" s="1056"/>
      <c r="I463" s="1049"/>
      <c r="J463" s="1049"/>
      <c r="K463" s="911"/>
    </row>
    <row r="464" spans="1:11" s="125" customFormat="1" ht="14.25" hidden="1" customHeight="1" outlineLevel="1">
      <c r="A464" s="902"/>
      <c r="B464" s="1054"/>
      <c r="C464" s="1050"/>
      <c r="D464" s="1050"/>
      <c r="E464" s="1050"/>
      <c r="F464" s="120"/>
      <c r="G464" s="121"/>
      <c r="H464" s="1050"/>
      <c r="I464" s="1050"/>
      <c r="J464" s="1050"/>
      <c r="K464" s="911"/>
    </row>
    <row r="465" spans="1:11" s="125" customFormat="1" ht="15" hidden="1" customHeight="1" outlineLevel="1" thickBot="1">
      <c r="A465" s="902"/>
      <c r="B465" s="1058"/>
      <c r="C465" s="1052"/>
      <c r="D465" s="1052"/>
      <c r="E465" s="1052"/>
      <c r="F465" s="122"/>
      <c r="G465" s="123"/>
      <c r="H465" s="1052"/>
      <c r="I465" s="1052"/>
      <c r="J465" s="1052"/>
      <c r="K465" s="911"/>
    </row>
    <row r="466" spans="1:11" s="125" customFormat="1" ht="14.25" hidden="1" customHeight="1" outlineLevel="1">
      <c r="A466" s="902"/>
      <c r="B466" s="1053">
        <v>152</v>
      </c>
      <c r="C466" s="1056"/>
      <c r="D466" s="1057"/>
      <c r="E466" s="1056"/>
      <c r="F466" s="118"/>
      <c r="G466" s="119"/>
      <c r="H466" s="1056"/>
      <c r="I466" s="1049"/>
      <c r="J466" s="1049"/>
      <c r="K466" s="911"/>
    </row>
    <row r="467" spans="1:11" s="125" customFormat="1" ht="14.25" hidden="1" customHeight="1" outlineLevel="1">
      <c r="A467" s="902"/>
      <c r="B467" s="1054"/>
      <c r="C467" s="1050"/>
      <c r="D467" s="1050"/>
      <c r="E467" s="1050"/>
      <c r="F467" s="120"/>
      <c r="G467" s="121"/>
      <c r="H467" s="1050"/>
      <c r="I467" s="1050"/>
      <c r="J467" s="1050"/>
      <c r="K467" s="911"/>
    </row>
    <row r="468" spans="1:11" s="125" customFormat="1" ht="15" hidden="1" customHeight="1" outlineLevel="1" thickBot="1">
      <c r="A468" s="902"/>
      <c r="B468" s="1058"/>
      <c r="C468" s="1052"/>
      <c r="D468" s="1052"/>
      <c r="E468" s="1052"/>
      <c r="F468" s="122"/>
      <c r="G468" s="123"/>
      <c r="H468" s="1052"/>
      <c r="I468" s="1052"/>
      <c r="J468" s="1052"/>
      <c r="K468" s="911"/>
    </row>
    <row r="469" spans="1:11" s="125" customFormat="1" ht="14.25" hidden="1" customHeight="1" outlineLevel="1">
      <c r="A469" s="902"/>
      <c r="B469" s="1053">
        <v>153</v>
      </c>
      <c r="C469" s="1056"/>
      <c r="D469" s="1057"/>
      <c r="E469" s="1056"/>
      <c r="F469" s="118"/>
      <c r="G469" s="119"/>
      <c r="H469" s="1056"/>
      <c r="I469" s="1049"/>
      <c r="J469" s="1049"/>
      <c r="K469" s="911"/>
    </row>
    <row r="470" spans="1:11" s="125" customFormat="1" ht="14.25" hidden="1" customHeight="1" outlineLevel="1">
      <c r="A470" s="902"/>
      <c r="B470" s="1054"/>
      <c r="C470" s="1050"/>
      <c r="D470" s="1050"/>
      <c r="E470" s="1050"/>
      <c r="F470" s="120"/>
      <c r="G470" s="121"/>
      <c r="H470" s="1050"/>
      <c r="I470" s="1050"/>
      <c r="J470" s="1050"/>
      <c r="K470" s="911"/>
    </row>
    <row r="471" spans="1:11" s="125" customFormat="1" ht="15" hidden="1" customHeight="1" outlineLevel="1" thickBot="1">
      <c r="A471" s="902"/>
      <c r="B471" s="1058"/>
      <c r="C471" s="1052"/>
      <c r="D471" s="1052"/>
      <c r="E471" s="1052"/>
      <c r="F471" s="122"/>
      <c r="G471" s="123"/>
      <c r="H471" s="1052"/>
      <c r="I471" s="1052"/>
      <c r="J471" s="1052"/>
      <c r="K471" s="911"/>
    </row>
    <row r="472" spans="1:11" s="125" customFormat="1" ht="14.25" hidden="1" customHeight="1" outlineLevel="1">
      <c r="A472" s="902"/>
      <c r="B472" s="1053">
        <v>154</v>
      </c>
      <c r="C472" s="1056"/>
      <c r="D472" s="1057"/>
      <c r="E472" s="1056"/>
      <c r="F472" s="118"/>
      <c r="G472" s="119"/>
      <c r="H472" s="1056"/>
      <c r="I472" s="1049"/>
      <c r="J472" s="1049"/>
      <c r="K472" s="911"/>
    </row>
    <row r="473" spans="1:11" s="125" customFormat="1" ht="14.25" hidden="1" customHeight="1" outlineLevel="1">
      <c r="A473" s="902"/>
      <c r="B473" s="1054"/>
      <c r="C473" s="1050"/>
      <c r="D473" s="1050"/>
      <c r="E473" s="1050"/>
      <c r="F473" s="120"/>
      <c r="G473" s="121"/>
      <c r="H473" s="1050"/>
      <c r="I473" s="1050"/>
      <c r="J473" s="1050"/>
      <c r="K473" s="911"/>
    </row>
    <row r="474" spans="1:11" s="125" customFormat="1" ht="15" hidden="1" customHeight="1" outlineLevel="1" thickBot="1">
      <c r="A474" s="902"/>
      <c r="B474" s="1058"/>
      <c r="C474" s="1052"/>
      <c r="D474" s="1052"/>
      <c r="E474" s="1052"/>
      <c r="F474" s="122"/>
      <c r="G474" s="123"/>
      <c r="H474" s="1052"/>
      <c r="I474" s="1052"/>
      <c r="J474" s="1052"/>
      <c r="K474" s="911"/>
    </row>
    <row r="475" spans="1:11" s="125" customFormat="1" ht="14.25" hidden="1" customHeight="1" outlineLevel="1">
      <c r="A475" s="902"/>
      <c r="B475" s="1053">
        <v>155</v>
      </c>
      <c r="C475" s="1056"/>
      <c r="D475" s="1057"/>
      <c r="E475" s="1056"/>
      <c r="F475" s="118"/>
      <c r="G475" s="119"/>
      <c r="H475" s="1056"/>
      <c r="I475" s="1049"/>
      <c r="J475" s="1049"/>
      <c r="K475" s="911"/>
    </row>
    <row r="476" spans="1:11" s="125" customFormat="1" ht="14.25" hidden="1" customHeight="1" outlineLevel="1">
      <c r="A476" s="902"/>
      <c r="B476" s="1054"/>
      <c r="C476" s="1050"/>
      <c r="D476" s="1050"/>
      <c r="E476" s="1050"/>
      <c r="F476" s="120"/>
      <c r="G476" s="121"/>
      <c r="H476" s="1050"/>
      <c r="I476" s="1050"/>
      <c r="J476" s="1050"/>
      <c r="K476" s="911"/>
    </row>
    <row r="477" spans="1:11" s="125" customFormat="1" ht="15" hidden="1" customHeight="1" outlineLevel="1" thickBot="1">
      <c r="A477" s="902"/>
      <c r="B477" s="1058"/>
      <c r="C477" s="1052"/>
      <c r="D477" s="1052"/>
      <c r="E477" s="1052"/>
      <c r="F477" s="122"/>
      <c r="G477" s="123"/>
      <c r="H477" s="1052"/>
      <c r="I477" s="1052"/>
      <c r="J477" s="1052"/>
      <c r="K477" s="911"/>
    </row>
    <row r="478" spans="1:11" s="125" customFormat="1" ht="14.25" hidden="1" customHeight="1" outlineLevel="1">
      <c r="A478" s="902"/>
      <c r="B478" s="1053">
        <v>156</v>
      </c>
      <c r="C478" s="1056"/>
      <c r="D478" s="1057"/>
      <c r="E478" s="1056"/>
      <c r="F478" s="118"/>
      <c r="G478" s="119"/>
      <c r="H478" s="1056"/>
      <c r="I478" s="1049"/>
      <c r="J478" s="1049"/>
      <c r="K478" s="911"/>
    </row>
    <row r="479" spans="1:11" s="125" customFormat="1" ht="14.25" hidden="1" customHeight="1" outlineLevel="1">
      <c r="A479" s="902"/>
      <c r="B479" s="1054"/>
      <c r="C479" s="1050"/>
      <c r="D479" s="1050"/>
      <c r="E479" s="1050"/>
      <c r="F479" s="120"/>
      <c r="G479" s="121"/>
      <c r="H479" s="1050"/>
      <c r="I479" s="1050"/>
      <c r="J479" s="1050"/>
      <c r="K479" s="911"/>
    </row>
    <row r="480" spans="1:11" s="125" customFormat="1" ht="15" hidden="1" customHeight="1" outlineLevel="1" thickBot="1">
      <c r="A480" s="902"/>
      <c r="B480" s="1058"/>
      <c r="C480" s="1052"/>
      <c r="D480" s="1052"/>
      <c r="E480" s="1052"/>
      <c r="F480" s="122"/>
      <c r="G480" s="123"/>
      <c r="H480" s="1052"/>
      <c r="I480" s="1052"/>
      <c r="J480" s="1052"/>
      <c r="K480" s="911"/>
    </row>
    <row r="481" spans="1:11" s="125" customFormat="1" ht="14.25" hidden="1" customHeight="1" outlineLevel="1">
      <c r="A481" s="902"/>
      <c r="B481" s="1053">
        <v>157</v>
      </c>
      <c r="C481" s="1056"/>
      <c r="D481" s="1057"/>
      <c r="E481" s="1056"/>
      <c r="F481" s="118"/>
      <c r="G481" s="119"/>
      <c r="H481" s="1056"/>
      <c r="I481" s="1049"/>
      <c r="J481" s="1049"/>
      <c r="K481" s="911"/>
    </row>
    <row r="482" spans="1:11" s="125" customFormat="1" ht="14.25" hidden="1" customHeight="1" outlineLevel="1">
      <c r="A482" s="902"/>
      <c r="B482" s="1054"/>
      <c r="C482" s="1050"/>
      <c r="D482" s="1050"/>
      <c r="E482" s="1050"/>
      <c r="F482" s="120"/>
      <c r="G482" s="121"/>
      <c r="H482" s="1050"/>
      <c r="I482" s="1050"/>
      <c r="J482" s="1050"/>
      <c r="K482" s="911"/>
    </row>
    <row r="483" spans="1:11" s="125" customFormat="1" ht="15" hidden="1" customHeight="1" outlineLevel="1" thickBot="1">
      <c r="A483" s="902"/>
      <c r="B483" s="1058"/>
      <c r="C483" s="1052"/>
      <c r="D483" s="1052"/>
      <c r="E483" s="1052"/>
      <c r="F483" s="122"/>
      <c r="G483" s="123"/>
      <c r="H483" s="1052"/>
      <c r="I483" s="1052"/>
      <c r="J483" s="1052"/>
      <c r="K483" s="911"/>
    </row>
    <row r="484" spans="1:11" s="125" customFormat="1" ht="14.25" hidden="1" customHeight="1" outlineLevel="1">
      <c r="A484" s="902"/>
      <c r="B484" s="1053">
        <v>158</v>
      </c>
      <c r="C484" s="1056"/>
      <c r="D484" s="1057"/>
      <c r="E484" s="1056"/>
      <c r="F484" s="118"/>
      <c r="G484" s="119"/>
      <c r="H484" s="1056"/>
      <c r="I484" s="1049"/>
      <c r="J484" s="1049"/>
      <c r="K484" s="911"/>
    </row>
    <row r="485" spans="1:11" s="125" customFormat="1" ht="14.25" hidden="1" customHeight="1" outlineLevel="1">
      <c r="A485" s="902"/>
      <c r="B485" s="1054"/>
      <c r="C485" s="1050"/>
      <c r="D485" s="1050"/>
      <c r="E485" s="1050"/>
      <c r="F485" s="120"/>
      <c r="G485" s="121"/>
      <c r="H485" s="1050"/>
      <c r="I485" s="1050"/>
      <c r="J485" s="1050"/>
      <c r="K485" s="911"/>
    </row>
    <row r="486" spans="1:11" s="125" customFormat="1" ht="15" hidden="1" customHeight="1" outlineLevel="1" thickBot="1">
      <c r="A486" s="902"/>
      <c r="B486" s="1058"/>
      <c r="C486" s="1052"/>
      <c r="D486" s="1052"/>
      <c r="E486" s="1052"/>
      <c r="F486" s="122"/>
      <c r="G486" s="123"/>
      <c r="H486" s="1052"/>
      <c r="I486" s="1052"/>
      <c r="J486" s="1052"/>
      <c r="K486" s="911"/>
    </row>
    <row r="487" spans="1:11" s="125" customFormat="1" ht="14.25" hidden="1" customHeight="1" outlineLevel="1">
      <c r="A487" s="902"/>
      <c r="B487" s="1053">
        <v>159</v>
      </c>
      <c r="C487" s="1056"/>
      <c r="D487" s="1057"/>
      <c r="E487" s="1056"/>
      <c r="F487" s="118"/>
      <c r="G487" s="119"/>
      <c r="H487" s="1056"/>
      <c r="I487" s="1049"/>
      <c r="J487" s="1049"/>
      <c r="K487" s="911"/>
    </row>
    <row r="488" spans="1:11" s="125" customFormat="1" ht="14.25" hidden="1" customHeight="1" outlineLevel="1">
      <c r="A488" s="902"/>
      <c r="B488" s="1054"/>
      <c r="C488" s="1050"/>
      <c r="D488" s="1050"/>
      <c r="E488" s="1050"/>
      <c r="F488" s="120"/>
      <c r="G488" s="121"/>
      <c r="H488" s="1050"/>
      <c r="I488" s="1050"/>
      <c r="J488" s="1050"/>
      <c r="K488" s="911"/>
    </row>
    <row r="489" spans="1:11" s="125" customFormat="1" ht="15" hidden="1" customHeight="1" outlineLevel="1" thickBot="1">
      <c r="A489" s="902"/>
      <c r="B489" s="1058"/>
      <c r="C489" s="1052"/>
      <c r="D489" s="1052"/>
      <c r="E489" s="1052"/>
      <c r="F489" s="122"/>
      <c r="G489" s="123"/>
      <c r="H489" s="1052"/>
      <c r="I489" s="1052"/>
      <c r="J489" s="1052"/>
      <c r="K489" s="911"/>
    </row>
    <row r="490" spans="1:11" s="125" customFormat="1" ht="14.25" hidden="1" customHeight="1" outlineLevel="1">
      <c r="A490" s="902"/>
      <c r="B490" s="1053">
        <v>160</v>
      </c>
      <c r="C490" s="1056"/>
      <c r="D490" s="1057"/>
      <c r="E490" s="1056"/>
      <c r="F490" s="118"/>
      <c r="G490" s="119"/>
      <c r="H490" s="1056"/>
      <c r="I490" s="1049"/>
      <c r="J490" s="1049"/>
      <c r="K490" s="911"/>
    </row>
    <row r="491" spans="1:11" s="125" customFormat="1" ht="14.25" hidden="1" customHeight="1" outlineLevel="1">
      <c r="A491" s="902"/>
      <c r="B491" s="1054"/>
      <c r="C491" s="1050"/>
      <c r="D491" s="1050"/>
      <c r="E491" s="1050"/>
      <c r="F491" s="120"/>
      <c r="G491" s="121"/>
      <c r="H491" s="1050"/>
      <c r="I491" s="1050"/>
      <c r="J491" s="1050"/>
      <c r="K491" s="911"/>
    </row>
    <row r="492" spans="1:11" s="125" customFormat="1" ht="15" hidden="1" customHeight="1" outlineLevel="1" thickBot="1">
      <c r="A492" s="902"/>
      <c r="B492" s="1058"/>
      <c r="C492" s="1052"/>
      <c r="D492" s="1052"/>
      <c r="E492" s="1052"/>
      <c r="F492" s="122"/>
      <c r="G492" s="123"/>
      <c r="H492" s="1052"/>
      <c r="I492" s="1052"/>
      <c r="J492" s="1052"/>
      <c r="K492" s="911"/>
    </row>
    <row r="493" spans="1:11" s="125" customFormat="1" ht="14.25" hidden="1" customHeight="1" outlineLevel="1">
      <c r="A493" s="902"/>
      <c r="B493" s="1053">
        <v>161</v>
      </c>
      <c r="C493" s="1056"/>
      <c r="D493" s="1057"/>
      <c r="E493" s="1056"/>
      <c r="F493" s="118"/>
      <c r="G493" s="119"/>
      <c r="H493" s="1056"/>
      <c r="I493" s="1049"/>
      <c r="J493" s="1049"/>
      <c r="K493" s="911"/>
    </row>
    <row r="494" spans="1:11" s="125" customFormat="1" ht="14.25" hidden="1" customHeight="1" outlineLevel="1">
      <c r="A494" s="902"/>
      <c r="B494" s="1054"/>
      <c r="C494" s="1050"/>
      <c r="D494" s="1050"/>
      <c r="E494" s="1050"/>
      <c r="F494" s="120"/>
      <c r="G494" s="121"/>
      <c r="H494" s="1050"/>
      <c r="I494" s="1050"/>
      <c r="J494" s="1050"/>
      <c r="K494" s="911"/>
    </row>
    <row r="495" spans="1:11" s="125" customFormat="1" ht="15" hidden="1" customHeight="1" outlineLevel="1" thickBot="1">
      <c r="A495" s="902"/>
      <c r="B495" s="1058"/>
      <c r="C495" s="1052"/>
      <c r="D495" s="1052"/>
      <c r="E495" s="1052"/>
      <c r="F495" s="122"/>
      <c r="G495" s="123"/>
      <c r="H495" s="1052"/>
      <c r="I495" s="1052"/>
      <c r="J495" s="1052"/>
      <c r="K495" s="911"/>
    </row>
    <row r="496" spans="1:11" s="125" customFormat="1" ht="14.25" hidden="1" customHeight="1" outlineLevel="1">
      <c r="A496" s="902"/>
      <c r="B496" s="1053">
        <v>162</v>
      </c>
      <c r="C496" s="1056"/>
      <c r="D496" s="1057"/>
      <c r="E496" s="1056"/>
      <c r="F496" s="118"/>
      <c r="G496" s="119"/>
      <c r="H496" s="1056"/>
      <c r="I496" s="1049"/>
      <c r="J496" s="1049"/>
      <c r="K496" s="911"/>
    </row>
    <row r="497" spans="1:11" s="125" customFormat="1" ht="14.25" hidden="1" customHeight="1" outlineLevel="1">
      <c r="A497" s="902"/>
      <c r="B497" s="1054"/>
      <c r="C497" s="1050"/>
      <c r="D497" s="1050"/>
      <c r="E497" s="1050"/>
      <c r="F497" s="120"/>
      <c r="G497" s="121"/>
      <c r="H497" s="1050"/>
      <c r="I497" s="1050"/>
      <c r="J497" s="1050"/>
      <c r="K497" s="911"/>
    </row>
    <row r="498" spans="1:11" s="125" customFormat="1" ht="15" hidden="1" customHeight="1" outlineLevel="1" thickBot="1">
      <c r="A498" s="902"/>
      <c r="B498" s="1058"/>
      <c r="C498" s="1052"/>
      <c r="D498" s="1052"/>
      <c r="E498" s="1052"/>
      <c r="F498" s="122"/>
      <c r="G498" s="123"/>
      <c r="H498" s="1052"/>
      <c r="I498" s="1052"/>
      <c r="J498" s="1052"/>
      <c r="K498" s="911"/>
    </row>
    <row r="499" spans="1:11" s="125" customFormat="1" ht="14.25" hidden="1" customHeight="1" outlineLevel="1">
      <c r="A499" s="902"/>
      <c r="B499" s="1053">
        <v>163</v>
      </c>
      <c r="C499" s="1056"/>
      <c r="D499" s="1057"/>
      <c r="E499" s="1056"/>
      <c r="F499" s="118"/>
      <c r="G499" s="119"/>
      <c r="H499" s="1056"/>
      <c r="I499" s="1049"/>
      <c r="J499" s="1049"/>
      <c r="K499" s="911"/>
    </row>
    <row r="500" spans="1:11" s="125" customFormat="1" ht="14.25" hidden="1" customHeight="1" outlineLevel="1">
      <c r="A500" s="902"/>
      <c r="B500" s="1054"/>
      <c r="C500" s="1050"/>
      <c r="D500" s="1050"/>
      <c r="E500" s="1050"/>
      <c r="F500" s="120"/>
      <c r="G500" s="121"/>
      <c r="H500" s="1050"/>
      <c r="I500" s="1050"/>
      <c r="J500" s="1050"/>
      <c r="K500" s="911"/>
    </row>
    <row r="501" spans="1:11" s="125" customFormat="1" ht="15" hidden="1" customHeight="1" outlineLevel="1" thickBot="1">
      <c r="A501" s="902"/>
      <c r="B501" s="1058"/>
      <c r="C501" s="1052"/>
      <c r="D501" s="1052"/>
      <c r="E501" s="1052"/>
      <c r="F501" s="122"/>
      <c r="G501" s="123"/>
      <c r="H501" s="1052"/>
      <c r="I501" s="1052"/>
      <c r="J501" s="1052"/>
      <c r="K501" s="911"/>
    </row>
    <row r="502" spans="1:11" s="125" customFormat="1" ht="14.25" hidden="1" customHeight="1" outlineLevel="1">
      <c r="A502" s="902"/>
      <c r="B502" s="1053">
        <v>164</v>
      </c>
      <c r="C502" s="1056"/>
      <c r="D502" s="1057"/>
      <c r="E502" s="1056"/>
      <c r="F502" s="118"/>
      <c r="G502" s="119"/>
      <c r="H502" s="1056"/>
      <c r="I502" s="1049"/>
      <c r="J502" s="1049"/>
      <c r="K502" s="911"/>
    </row>
    <row r="503" spans="1:11" s="125" customFormat="1" ht="14.25" hidden="1" customHeight="1" outlineLevel="1">
      <c r="A503" s="902"/>
      <c r="B503" s="1054"/>
      <c r="C503" s="1050"/>
      <c r="D503" s="1050"/>
      <c r="E503" s="1050"/>
      <c r="F503" s="120"/>
      <c r="G503" s="121"/>
      <c r="H503" s="1050"/>
      <c r="I503" s="1050"/>
      <c r="J503" s="1050"/>
      <c r="K503" s="911"/>
    </row>
    <row r="504" spans="1:11" s="125" customFormat="1" ht="15" hidden="1" customHeight="1" outlineLevel="1" thickBot="1">
      <c r="A504" s="902"/>
      <c r="B504" s="1058"/>
      <c r="C504" s="1052"/>
      <c r="D504" s="1052"/>
      <c r="E504" s="1052"/>
      <c r="F504" s="122"/>
      <c r="G504" s="123"/>
      <c r="H504" s="1052"/>
      <c r="I504" s="1052"/>
      <c r="J504" s="1052"/>
      <c r="K504" s="911"/>
    </row>
    <row r="505" spans="1:11" s="125" customFormat="1" ht="14.25" hidden="1" customHeight="1" outlineLevel="1">
      <c r="A505" s="902"/>
      <c r="B505" s="1053">
        <v>165</v>
      </c>
      <c r="C505" s="1056"/>
      <c r="D505" s="1057"/>
      <c r="E505" s="1056"/>
      <c r="F505" s="118"/>
      <c r="G505" s="119"/>
      <c r="H505" s="1056"/>
      <c r="I505" s="1049"/>
      <c r="J505" s="1049"/>
      <c r="K505" s="911"/>
    </row>
    <row r="506" spans="1:11" s="125" customFormat="1" ht="14.25" hidden="1" customHeight="1" outlineLevel="1">
      <c r="A506" s="902"/>
      <c r="B506" s="1054"/>
      <c r="C506" s="1050"/>
      <c r="D506" s="1050"/>
      <c r="E506" s="1050"/>
      <c r="F506" s="120"/>
      <c r="G506" s="121"/>
      <c r="H506" s="1050"/>
      <c r="I506" s="1050"/>
      <c r="J506" s="1050"/>
      <c r="K506" s="911"/>
    </row>
    <row r="507" spans="1:11" s="125" customFormat="1" ht="15" hidden="1" customHeight="1" outlineLevel="1" thickBot="1">
      <c r="A507" s="902"/>
      <c r="B507" s="1058"/>
      <c r="C507" s="1052"/>
      <c r="D507" s="1052"/>
      <c r="E507" s="1052"/>
      <c r="F507" s="122"/>
      <c r="G507" s="123"/>
      <c r="H507" s="1052"/>
      <c r="I507" s="1052"/>
      <c r="J507" s="1052"/>
      <c r="K507" s="911"/>
    </row>
    <row r="508" spans="1:11" s="125" customFormat="1" ht="14.25" hidden="1" customHeight="1" outlineLevel="1">
      <c r="A508" s="902"/>
      <c r="B508" s="1053">
        <v>166</v>
      </c>
      <c r="C508" s="1056"/>
      <c r="D508" s="1057"/>
      <c r="E508" s="1056"/>
      <c r="F508" s="118"/>
      <c r="G508" s="119"/>
      <c r="H508" s="1056"/>
      <c r="I508" s="1049"/>
      <c r="J508" s="1049"/>
      <c r="K508" s="911"/>
    </row>
    <row r="509" spans="1:11" s="125" customFormat="1" ht="14.25" hidden="1" customHeight="1" outlineLevel="1">
      <c r="A509" s="902"/>
      <c r="B509" s="1054"/>
      <c r="C509" s="1050"/>
      <c r="D509" s="1050"/>
      <c r="E509" s="1050"/>
      <c r="F509" s="120"/>
      <c r="G509" s="121"/>
      <c r="H509" s="1050"/>
      <c r="I509" s="1050"/>
      <c r="J509" s="1050"/>
      <c r="K509" s="911"/>
    </row>
    <row r="510" spans="1:11" s="125" customFormat="1" ht="15" hidden="1" customHeight="1" outlineLevel="1" thickBot="1">
      <c r="A510" s="902"/>
      <c r="B510" s="1058"/>
      <c r="C510" s="1052"/>
      <c r="D510" s="1052"/>
      <c r="E510" s="1052"/>
      <c r="F510" s="122"/>
      <c r="G510" s="123"/>
      <c r="H510" s="1052"/>
      <c r="I510" s="1052"/>
      <c r="J510" s="1052"/>
      <c r="K510" s="911"/>
    </row>
    <row r="511" spans="1:11" s="125" customFormat="1" ht="14.25" hidden="1" customHeight="1" outlineLevel="1">
      <c r="A511" s="902"/>
      <c r="B511" s="1053">
        <v>167</v>
      </c>
      <c r="C511" s="1056"/>
      <c r="D511" s="1057"/>
      <c r="E511" s="1056"/>
      <c r="F511" s="118"/>
      <c r="G511" s="119"/>
      <c r="H511" s="1056"/>
      <c r="I511" s="1049"/>
      <c r="J511" s="1049"/>
      <c r="K511" s="911"/>
    </row>
    <row r="512" spans="1:11" s="125" customFormat="1" ht="14.25" hidden="1" customHeight="1" outlineLevel="1">
      <c r="A512" s="902"/>
      <c r="B512" s="1054"/>
      <c r="C512" s="1050"/>
      <c r="D512" s="1050"/>
      <c r="E512" s="1050"/>
      <c r="F512" s="120"/>
      <c r="G512" s="121"/>
      <c r="H512" s="1050"/>
      <c r="I512" s="1050"/>
      <c r="J512" s="1050"/>
      <c r="K512" s="911"/>
    </row>
    <row r="513" spans="1:11" s="125" customFormat="1" ht="15" hidden="1" customHeight="1" outlineLevel="1" thickBot="1">
      <c r="A513" s="902"/>
      <c r="B513" s="1058"/>
      <c r="C513" s="1052"/>
      <c r="D513" s="1052"/>
      <c r="E513" s="1052"/>
      <c r="F513" s="122"/>
      <c r="G513" s="123"/>
      <c r="H513" s="1052"/>
      <c r="I513" s="1052"/>
      <c r="J513" s="1052"/>
      <c r="K513" s="911"/>
    </row>
    <row r="514" spans="1:11" s="125" customFormat="1" ht="14.25" hidden="1" customHeight="1" outlineLevel="1">
      <c r="A514" s="902"/>
      <c r="B514" s="1053">
        <v>168</v>
      </c>
      <c r="C514" s="1056"/>
      <c r="D514" s="1057"/>
      <c r="E514" s="1056"/>
      <c r="F514" s="118"/>
      <c r="G514" s="119"/>
      <c r="H514" s="1056"/>
      <c r="I514" s="1049"/>
      <c r="J514" s="1049"/>
      <c r="K514" s="911"/>
    </row>
    <row r="515" spans="1:11" s="125" customFormat="1" ht="14.25" hidden="1" customHeight="1" outlineLevel="1">
      <c r="A515" s="902"/>
      <c r="B515" s="1054"/>
      <c r="C515" s="1050"/>
      <c r="D515" s="1050"/>
      <c r="E515" s="1050"/>
      <c r="F515" s="120"/>
      <c r="G515" s="121"/>
      <c r="H515" s="1050"/>
      <c r="I515" s="1050"/>
      <c r="J515" s="1050"/>
      <c r="K515" s="911"/>
    </row>
    <row r="516" spans="1:11" s="125" customFormat="1" ht="15" hidden="1" customHeight="1" outlineLevel="1" thickBot="1">
      <c r="A516" s="902"/>
      <c r="B516" s="1058"/>
      <c r="C516" s="1052"/>
      <c r="D516" s="1052"/>
      <c r="E516" s="1052"/>
      <c r="F516" s="122"/>
      <c r="G516" s="123"/>
      <c r="H516" s="1052"/>
      <c r="I516" s="1052"/>
      <c r="J516" s="1052"/>
      <c r="K516" s="911"/>
    </row>
    <row r="517" spans="1:11" s="125" customFormat="1" ht="14.25" hidden="1" customHeight="1" outlineLevel="1">
      <c r="A517" s="902"/>
      <c r="B517" s="1053">
        <v>169</v>
      </c>
      <c r="C517" s="1056"/>
      <c r="D517" s="1057"/>
      <c r="E517" s="1056"/>
      <c r="F517" s="118"/>
      <c r="G517" s="119"/>
      <c r="H517" s="1056"/>
      <c r="I517" s="1049"/>
      <c r="J517" s="1049"/>
      <c r="K517" s="911"/>
    </row>
    <row r="518" spans="1:11" s="125" customFormat="1" ht="14.25" hidden="1" customHeight="1" outlineLevel="1">
      <c r="A518" s="902"/>
      <c r="B518" s="1054"/>
      <c r="C518" s="1050"/>
      <c r="D518" s="1050"/>
      <c r="E518" s="1050"/>
      <c r="F518" s="120"/>
      <c r="G518" s="121"/>
      <c r="H518" s="1050"/>
      <c r="I518" s="1050"/>
      <c r="J518" s="1050"/>
      <c r="K518" s="911"/>
    </row>
    <row r="519" spans="1:11" s="125" customFormat="1" ht="15" hidden="1" customHeight="1" outlineLevel="1" thickBot="1">
      <c r="A519" s="902"/>
      <c r="B519" s="1058"/>
      <c r="C519" s="1052"/>
      <c r="D519" s="1052"/>
      <c r="E519" s="1052"/>
      <c r="F519" s="122"/>
      <c r="G519" s="123"/>
      <c r="H519" s="1052"/>
      <c r="I519" s="1052"/>
      <c r="J519" s="1052"/>
      <c r="K519" s="911"/>
    </row>
    <row r="520" spans="1:11" s="125" customFormat="1" ht="14.25" hidden="1" customHeight="1" outlineLevel="1">
      <c r="A520" s="902"/>
      <c r="B520" s="1053">
        <v>170</v>
      </c>
      <c r="C520" s="1056"/>
      <c r="D520" s="1057"/>
      <c r="E520" s="1056"/>
      <c r="F520" s="118"/>
      <c r="G520" s="119"/>
      <c r="H520" s="1056"/>
      <c r="I520" s="1049"/>
      <c r="J520" s="1049"/>
      <c r="K520" s="911"/>
    </row>
    <row r="521" spans="1:11" s="125" customFormat="1" ht="14.25" hidden="1" customHeight="1" outlineLevel="1">
      <c r="A521" s="902"/>
      <c r="B521" s="1054"/>
      <c r="C521" s="1050"/>
      <c r="D521" s="1050"/>
      <c r="E521" s="1050"/>
      <c r="F521" s="120"/>
      <c r="G521" s="121"/>
      <c r="H521" s="1050"/>
      <c r="I521" s="1050"/>
      <c r="J521" s="1050"/>
      <c r="K521" s="911"/>
    </row>
    <row r="522" spans="1:11" s="125" customFormat="1" ht="15" hidden="1" customHeight="1" outlineLevel="1" thickBot="1">
      <c r="A522" s="902"/>
      <c r="B522" s="1058"/>
      <c r="C522" s="1052"/>
      <c r="D522" s="1052"/>
      <c r="E522" s="1052"/>
      <c r="F522" s="122"/>
      <c r="G522" s="123"/>
      <c r="H522" s="1052"/>
      <c r="I522" s="1052"/>
      <c r="J522" s="1052"/>
      <c r="K522" s="911"/>
    </row>
    <row r="523" spans="1:11" s="125" customFormat="1" ht="14.25" hidden="1" customHeight="1" outlineLevel="1">
      <c r="A523" s="902"/>
      <c r="B523" s="1053">
        <v>171</v>
      </c>
      <c r="C523" s="1056"/>
      <c r="D523" s="1057"/>
      <c r="E523" s="1056"/>
      <c r="F523" s="118"/>
      <c r="G523" s="119"/>
      <c r="H523" s="1056"/>
      <c r="I523" s="1049"/>
      <c r="J523" s="1049"/>
      <c r="K523" s="911"/>
    </row>
    <row r="524" spans="1:11" s="125" customFormat="1" ht="14.25" hidden="1" customHeight="1" outlineLevel="1">
      <c r="A524" s="902"/>
      <c r="B524" s="1054"/>
      <c r="C524" s="1050"/>
      <c r="D524" s="1050"/>
      <c r="E524" s="1050"/>
      <c r="F524" s="120"/>
      <c r="G524" s="121"/>
      <c r="H524" s="1050"/>
      <c r="I524" s="1050"/>
      <c r="J524" s="1050"/>
      <c r="K524" s="911"/>
    </row>
    <row r="525" spans="1:11" s="125" customFormat="1" ht="15" hidden="1" customHeight="1" outlineLevel="1" thickBot="1">
      <c r="A525" s="902"/>
      <c r="B525" s="1058"/>
      <c r="C525" s="1052"/>
      <c r="D525" s="1052"/>
      <c r="E525" s="1052"/>
      <c r="F525" s="122"/>
      <c r="G525" s="123"/>
      <c r="H525" s="1052"/>
      <c r="I525" s="1052"/>
      <c r="J525" s="1052"/>
      <c r="K525" s="911"/>
    </row>
    <row r="526" spans="1:11" s="125" customFormat="1" ht="14.25" hidden="1" customHeight="1" outlineLevel="1">
      <c r="A526" s="902"/>
      <c r="B526" s="1053">
        <v>172</v>
      </c>
      <c r="C526" s="1056"/>
      <c r="D526" s="1057"/>
      <c r="E526" s="1056"/>
      <c r="F526" s="118"/>
      <c r="G526" s="119"/>
      <c r="H526" s="1056"/>
      <c r="I526" s="1049"/>
      <c r="J526" s="1049"/>
      <c r="K526" s="911"/>
    </row>
    <row r="527" spans="1:11" s="125" customFormat="1" ht="14.25" hidden="1" customHeight="1" outlineLevel="1">
      <c r="A527" s="902"/>
      <c r="B527" s="1054"/>
      <c r="C527" s="1050"/>
      <c r="D527" s="1050"/>
      <c r="E527" s="1050"/>
      <c r="F527" s="120"/>
      <c r="G527" s="121"/>
      <c r="H527" s="1050"/>
      <c r="I527" s="1050"/>
      <c r="J527" s="1050"/>
      <c r="K527" s="911"/>
    </row>
    <row r="528" spans="1:11" s="125" customFormat="1" ht="15" hidden="1" customHeight="1" outlineLevel="1" thickBot="1">
      <c r="A528" s="902"/>
      <c r="B528" s="1058"/>
      <c r="C528" s="1052"/>
      <c r="D528" s="1052"/>
      <c r="E528" s="1052"/>
      <c r="F528" s="122"/>
      <c r="G528" s="123"/>
      <c r="H528" s="1052"/>
      <c r="I528" s="1052"/>
      <c r="J528" s="1052"/>
      <c r="K528" s="911"/>
    </row>
    <row r="529" spans="1:11" s="125" customFormat="1" ht="14.25" hidden="1" customHeight="1" outlineLevel="1">
      <c r="A529" s="902"/>
      <c r="B529" s="1053">
        <v>173</v>
      </c>
      <c r="C529" s="1056"/>
      <c r="D529" s="1057"/>
      <c r="E529" s="1056"/>
      <c r="F529" s="118"/>
      <c r="G529" s="119"/>
      <c r="H529" s="1056"/>
      <c r="I529" s="1049"/>
      <c r="J529" s="1049"/>
      <c r="K529" s="911"/>
    </row>
    <row r="530" spans="1:11" s="125" customFormat="1" ht="14.25" hidden="1" customHeight="1" outlineLevel="1">
      <c r="A530" s="902"/>
      <c r="B530" s="1054"/>
      <c r="C530" s="1050"/>
      <c r="D530" s="1050"/>
      <c r="E530" s="1050"/>
      <c r="F530" s="120"/>
      <c r="G530" s="121"/>
      <c r="H530" s="1050"/>
      <c r="I530" s="1050"/>
      <c r="J530" s="1050"/>
      <c r="K530" s="911"/>
    </row>
    <row r="531" spans="1:11" s="125" customFormat="1" ht="15" hidden="1" customHeight="1" outlineLevel="1" thickBot="1">
      <c r="A531" s="902"/>
      <c r="B531" s="1058"/>
      <c r="C531" s="1052"/>
      <c r="D531" s="1052"/>
      <c r="E531" s="1052"/>
      <c r="F531" s="122"/>
      <c r="G531" s="123"/>
      <c r="H531" s="1052"/>
      <c r="I531" s="1052"/>
      <c r="J531" s="1052"/>
      <c r="K531" s="911"/>
    </row>
    <row r="532" spans="1:11" s="125" customFormat="1" ht="14.25" hidden="1" customHeight="1" outlineLevel="1">
      <c r="A532" s="902"/>
      <c r="B532" s="1053">
        <v>174</v>
      </c>
      <c r="C532" s="1056"/>
      <c r="D532" s="1057"/>
      <c r="E532" s="1056"/>
      <c r="F532" s="118"/>
      <c r="G532" s="119"/>
      <c r="H532" s="1056"/>
      <c r="I532" s="1049"/>
      <c r="J532" s="1049"/>
      <c r="K532" s="911"/>
    </row>
    <row r="533" spans="1:11" s="125" customFormat="1" ht="14.25" hidden="1" customHeight="1" outlineLevel="1">
      <c r="A533" s="902"/>
      <c r="B533" s="1054"/>
      <c r="C533" s="1050"/>
      <c r="D533" s="1050"/>
      <c r="E533" s="1050"/>
      <c r="F533" s="120"/>
      <c r="G533" s="121"/>
      <c r="H533" s="1050"/>
      <c r="I533" s="1050"/>
      <c r="J533" s="1050"/>
      <c r="K533" s="911"/>
    </row>
    <row r="534" spans="1:11" s="125" customFormat="1" ht="15" hidden="1" customHeight="1" outlineLevel="1" thickBot="1">
      <c r="A534" s="902"/>
      <c r="B534" s="1058"/>
      <c r="C534" s="1052"/>
      <c r="D534" s="1052"/>
      <c r="E534" s="1052"/>
      <c r="F534" s="122"/>
      <c r="G534" s="123"/>
      <c r="H534" s="1052"/>
      <c r="I534" s="1052"/>
      <c r="J534" s="1052"/>
      <c r="K534" s="911"/>
    </row>
    <row r="535" spans="1:11" s="125" customFormat="1" ht="14.25" hidden="1" customHeight="1" outlineLevel="1">
      <c r="A535" s="902"/>
      <c r="B535" s="1053">
        <v>175</v>
      </c>
      <c r="C535" s="1056"/>
      <c r="D535" s="1057"/>
      <c r="E535" s="1056"/>
      <c r="F535" s="118"/>
      <c r="G535" s="119"/>
      <c r="H535" s="1056"/>
      <c r="I535" s="1049"/>
      <c r="J535" s="1049"/>
      <c r="K535" s="911"/>
    </row>
    <row r="536" spans="1:11" s="125" customFormat="1" ht="14.25" hidden="1" customHeight="1" outlineLevel="1">
      <c r="A536" s="902"/>
      <c r="B536" s="1054"/>
      <c r="C536" s="1050"/>
      <c r="D536" s="1050"/>
      <c r="E536" s="1050"/>
      <c r="F536" s="120"/>
      <c r="G536" s="121"/>
      <c r="H536" s="1050"/>
      <c r="I536" s="1050"/>
      <c r="J536" s="1050"/>
      <c r="K536" s="911"/>
    </row>
    <row r="537" spans="1:11" s="125" customFormat="1" ht="15" hidden="1" customHeight="1" outlineLevel="1" thickBot="1">
      <c r="A537" s="902"/>
      <c r="B537" s="1058"/>
      <c r="C537" s="1052"/>
      <c r="D537" s="1052"/>
      <c r="E537" s="1052"/>
      <c r="F537" s="122"/>
      <c r="G537" s="123"/>
      <c r="H537" s="1052"/>
      <c r="I537" s="1052"/>
      <c r="J537" s="1052"/>
      <c r="K537" s="911"/>
    </row>
    <row r="538" spans="1:11" s="125" customFormat="1" ht="14.25" hidden="1" customHeight="1" outlineLevel="1">
      <c r="A538" s="902"/>
      <c r="B538" s="1053">
        <v>176</v>
      </c>
      <c r="C538" s="1056"/>
      <c r="D538" s="1057"/>
      <c r="E538" s="1056"/>
      <c r="F538" s="118"/>
      <c r="G538" s="119"/>
      <c r="H538" s="1056"/>
      <c r="I538" s="1049"/>
      <c r="J538" s="1049"/>
      <c r="K538" s="911"/>
    </row>
    <row r="539" spans="1:11" s="125" customFormat="1" ht="14.25" hidden="1" customHeight="1" outlineLevel="1">
      <c r="A539" s="902"/>
      <c r="B539" s="1054"/>
      <c r="C539" s="1050"/>
      <c r="D539" s="1050"/>
      <c r="E539" s="1050"/>
      <c r="F539" s="120"/>
      <c r="G539" s="121"/>
      <c r="H539" s="1050"/>
      <c r="I539" s="1050"/>
      <c r="J539" s="1050"/>
      <c r="K539" s="911"/>
    </row>
    <row r="540" spans="1:11" s="125" customFormat="1" ht="15" hidden="1" customHeight="1" outlineLevel="1" thickBot="1">
      <c r="A540" s="902"/>
      <c r="B540" s="1058"/>
      <c r="C540" s="1052"/>
      <c r="D540" s="1052"/>
      <c r="E540" s="1052"/>
      <c r="F540" s="122"/>
      <c r="G540" s="123"/>
      <c r="H540" s="1052"/>
      <c r="I540" s="1052"/>
      <c r="J540" s="1052"/>
      <c r="K540" s="911"/>
    </row>
    <row r="541" spans="1:11" s="125" customFormat="1" ht="14.25" hidden="1" customHeight="1" outlineLevel="1">
      <c r="A541" s="902"/>
      <c r="B541" s="1053">
        <v>177</v>
      </c>
      <c r="C541" s="1056"/>
      <c r="D541" s="1057"/>
      <c r="E541" s="1056"/>
      <c r="F541" s="118"/>
      <c r="G541" s="119"/>
      <c r="H541" s="1056"/>
      <c r="I541" s="1049"/>
      <c r="J541" s="1049"/>
      <c r="K541" s="911"/>
    </row>
    <row r="542" spans="1:11" s="125" customFormat="1" ht="14.25" hidden="1" customHeight="1" outlineLevel="1">
      <c r="A542" s="902"/>
      <c r="B542" s="1054"/>
      <c r="C542" s="1050"/>
      <c r="D542" s="1050"/>
      <c r="E542" s="1050"/>
      <c r="F542" s="120"/>
      <c r="G542" s="121"/>
      <c r="H542" s="1050"/>
      <c r="I542" s="1050"/>
      <c r="J542" s="1050"/>
      <c r="K542" s="911"/>
    </row>
    <row r="543" spans="1:11" s="125" customFormat="1" ht="15" hidden="1" customHeight="1" outlineLevel="1" thickBot="1">
      <c r="A543" s="902"/>
      <c r="B543" s="1058"/>
      <c r="C543" s="1052"/>
      <c r="D543" s="1052"/>
      <c r="E543" s="1052"/>
      <c r="F543" s="122"/>
      <c r="G543" s="123"/>
      <c r="H543" s="1052"/>
      <c r="I543" s="1052"/>
      <c r="J543" s="1052"/>
      <c r="K543" s="911"/>
    </row>
    <row r="544" spans="1:11" s="125" customFormat="1" ht="14.25" hidden="1" customHeight="1" outlineLevel="1">
      <c r="A544" s="902"/>
      <c r="B544" s="1053">
        <v>178</v>
      </c>
      <c r="C544" s="1056"/>
      <c r="D544" s="1057"/>
      <c r="E544" s="1056"/>
      <c r="F544" s="118"/>
      <c r="G544" s="119"/>
      <c r="H544" s="1056"/>
      <c r="I544" s="1049"/>
      <c r="J544" s="1049"/>
      <c r="K544" s="911"/>
    </row>
    <row r="545" spans="1:11" s="125" customFormat="1" ht="14.25" hidden="1" customHeight="1" outlineLevel="1">
      <c r="A545" s="902"/>
      <c r="B545" s="1054"/>
      <c r="C545" s="1050"/>
      <c r="D545" s="1050"/>
      <c r="E545" s="1050"/>
      <c r="F545" s="120"/>
      <c r="G545" s="121"/>
      <c r="H545" s="1050"/>
      <c r="I545" s="1050"/>
      <c r="J545" s="1050"/>
      <c r="K545" s="911"/>
    </row>
    <row r="546" spans="1:11" s="125" customFormat="1" ht="15" hidden="1" customHeight="1" outlineLevel="1" thickBot="1">
      <c r="A546" s="902"/>
      <c r="B546" s="1058"/>
      <c r="C546" s="1052"/>
      <c r="D546" s="1052"/>
      <c r="E546" s="1052"/>
      <c r="F546" s="122"/>
      <c r="G546" s="123"/>
      <c r="H546" s="1052"/>
      <c r="I546" s="1052"/>
      <c r="J546" s="1052"/>
      <c r="K546" s="911"/>
    </row>
    <row r="547" spans="1:11" s="125" customFormat="1" ht="14.25" hidden="1" customHeight="1" outlineLevel="1">
      <c r="A547" s="902"/>
      <c r="B547" s="1053">
        <v>179</v>
      </c>
      <c r="C547" s="1056"/>
      <c r="D547" s="1057"/>
      <c r="E547" s="1056"/>
      <c r="F547" s="118"/>
      <c r="G547" s="119"/>
      <c r="H547" s="1056"/>
      <c r="I547" s="1049"/>
      <c r="J547" s="1049"/>
      <c r="K547" s="911"/>
    </row>
    <row r="548" spans="1:11" s="125" customFormat="1" ht="14.25" hidden="1" customHeight="1" outlineLevel="1">
      <c r="A548" s="902"/>
      <c r="B548" s="1054"/>
      <c r="C548" s="1050"/>
      <c r="D548" s="1050"/>
      <c r="E548" s="1050"/>
      <c r="F548" s="120"/>
      <c r="G548" s="121"/>
      <c r="H548" s="1050"/>
      <c r="I548" s="1050"/>
      <c r="J548" s="1050"/>
      <c r="K548" s="911"/>
    </row>
    <row r="549" spans="1:11" s="125" customFormat="1" ht="15" hidden="1" customHeight="1" outlineLevel="1" thickBot="1">
      <c r="A549" s="902"/>
      <c r="B549" s="1058"/>
      <c r="C549" s="1052"/>
      <c r="D549" s="1052"/>
      <c r="E549" s="1052"/>
      <c r="F549" s="122"/>
      <c r="G549" s="123"/>
      <c r="H549" s="1052"/>
      <c r="I549" s="1052"/>
      <c r="J549" s="1052"/>
      <c r="K549" s="911"/>
    </row>
    <row r="550" spans="1:11" s="125" customFormat="1" ht="14.25" hidden="1" customHeight="1" outlineLevel="1">
      <c r="A550" s="902"/>
      <c r="B550" s="1053">
        <v>180</v>
      </c>
      <c r="C550" s="1056"/>
      <c r="D550" s="1057"/>
      <c r="E550" s="1056"/>
      <c r="F550" s="118"/>
      <c r="G550" s="119"/>
      <c r="H550" s="1056"/>
      <c r="I550" s="1049"/>
      <c r="J550" s="1049"/>
      <c r="K550" s="911"/>
    </row>
    <row r="551" spans="1:11" s="125" customFormat="1" ht="14.25" hidden="1" customHeight="1" outlineLevel="1">
      <c r="A551" s="902"/>
      <c r="B551" s="1054"/>
      <c r="C551" s="1050"/>
      <c r="D551" s="1050"/>
      <c r="E551" s="1050"/>
      <c r="F551" s="120"/>
      <c r="G551" s="121"/>
      <c r="H551" s="1050"/>
      <c r="I551" s="1050"/>
      <c r="J551" s="1050"/>
      <c r="K551" s="911"/>
    </row>
    <row r="552" spans="1:11" s="125" customFormat="1" ht="15" hidden="1" customHeight="1" outlineLevel="1" thickBot="1">
      <c r="A552" s="902"/>
      <c r="B552" s="1058"/>
      <c r="C552" s="1052"/>
      <c r="D552" s="1052"/>
      <c r="E552" s="1052"/>
      <c r="F552" s="122"/>
      <c r="G552" s="123"/>
      <c r="H552" s="1052"/>
      <c r="I552" s="1052"/>
      <c r="J552" s="1052"/>
      <c r="K552" s="911"/>
    </row>
    <row r="553" spans="1:11" s="125" customFormat="1" ht="14.25" hidden="1" customHeight="1" outlineLevel="1">
      <c r="A553" s="902"/>
      <c r="B553" s="1053">
        <v>181</v>
      </c>
      <c r="C553" s="1056"/>
      <c r="D553" s="1057"/>
      <c r="E553" s="1056"/>
      <c r="F553" s="118"/>
      <c r="G553" s="119"/>
      <c r="H553" s="1056"/>
      <c r="I553" s="1049"/>
      <c r="J553" s="1049"/>
      <c r="K553" s="911"/>
    </row>
    <row r="554" spans="1:11" s="125" customFormat="1" ht="14.25" hidden="1" customHeight="1" outlineLevel="1">
      <c r="A554" s="902"/>
      <c r="B554" s="1054"/>
      <c r="C554" s="1050"/>
      <c r="D554" s="1050"/>
      <c r="E554" s="1050"/>
      <c r="F554" s="120"/>
      <c r="G554" s="121"/>
      <c r="H554" s="1050"/>
      <c r="I554" s="1050"/>
      <c r="J554" s="1050"/>
      <c r="K554" s="911"/>
    </row>
    <row r="555" spans="1:11" s="125" customFormat="1" ht="15" hidden="1" customHeight="1" outlineLevel="1" thickBot="1">
      <c r="A555" s="902"/>
      <c r="B555" s="1058"/>
      <c r="C555" s="1052"/>
      <c r="D555" s="1052"/>
      <c r="E555" s="1052"/>
      <c r="F555" s="122"/>
      <c r="G555" s="123"/>
      <c r="H555" s="1052"/>
      <c r="I555" s="1052"/>
      <c r="J555" s="1052"/>
      <c r="K555" s="911"/>
    </row>
    <row r="556" spans="1:11" s="125" customFormat="1" ht="14.25" hidden="1" customHeight="1" outlineLevel="1">
      <c r="A556" s="902"/>
      <c r="B556" s="1053">
        <v>182</v>
      </c>
      <c r="C556" s="1056"/>
      <c r="D556" s="1057"/>
      <c r="E556" s="1056"/>
      <c r="F556" s="118"/>
      <c r="G556" s="119"/>
      <c r="H556" s="1056"/>
      <c r="I556" s="1049"/>
      <c r="J556" s="1049"/>
      <c r="K556" s="911"/>
    </row>
    <row r="557" spans="1:11" s="125" customFormat="1" ht="14.25" hidden="1" customHeight="1" outlineLevel="1">
      <c r="A557" s="902"/>
      <c r="B557" s="1054"/>
      <c r="C557" s="1050"/>
      <c r="D557" s="1050"/>
      <c r="E557" s="1050"/>
      <c r="F557" s="120"/>
      <c r="G557" s="121"/>
      <c r="H557" s="1050"/>
      <c r="I557" s="1050"/>
      <c r="J557" s="1050"/>
      <c r="K557" s="911"/>
    </row>
    <row r="558" spans="1:11" s="125" customFormat="1" ht="15" hidden="1" customHeight="1" outlineLevel="1" thickBot="1">
      <c r="A558" s="902"/>
      <c r="B558" s="1058"/>
      <c r="C558" s="1052"/>
      <c r="D558" s="1052"/>
      <c r="E558" s="1052"/>
      <c r="F558" s="122"/>
      <c r="G558" s="123"/>
      <c r="H558" s="1052"/>
      <c r="I558" s="1052"/>
      <c r="J558" s="1052"/>
      <c r="K558" s="911"/>
    </row>
    <row r="559" spans="1:11" s="125" customFormat="1" ht="14.25" hidden="1" customHeight="1" outlineLevel="1">
      <c r="A559" s="902"/>
      <c r="B559" s="1053">
        <v>183</v>
      </c>
      <c r="C559" s="1056"/>
      <c r="D559" s="1057"/>
      <c r="E559" s="1056"/>
      <c r="F559" s="118"/>
      <c r="G559" s="119"/>
      <c r="H559" s="1056"/>
      <c r="I559" s="1049"/>
      <c r="J559" s="1049"/>
      <c r="K559" s="911"/>
    </row>
    <row r="560" spans="1:11" s="125" customFormat="1" ht="14.25" hidden="1" customHeight="1" outlineLevel="1">
      <c r="A560" s="902"/>
      <c r="B560" s="1054"/>
      <c r="C560" s="1050"/>
      <c r="D560" s="1050"/>
      <c r="E560" s="1050"/>
      <c r="F560" s="120"/>
      <c r="G560" s="121"/>
      <c r="H560" s="1050"/>
      <c r="I560" s="1050"/>
      <c r="J560" s="1050"/>
      <c r="K560" s="911"/>
    </row>
    <row r="561" spans="1:11" s="125" customFormat="1" ht="15" hidden="1" customHeight="1" outlineLevel="1" thickBot="1">
      <c r="A561" s="902"/>
      <c r="B561" s="1058"/>
      <c r="C561" s="1052"/>
      <c r="D561" s="1052"/>
      <c r="E561" s="1052"/>
      <c r="F561" s="122"/>
      <c r="G561" s="123"/>
      <c r="H561" s="1052"/>
      <c r="I561" s="1052"/>
      <c r="J561" s="1052"/>
      <c r="K561" s="911"/>
    </row>
    <row r="562" spans="1:11" s="125" customFormat="1" ht="14.25" hidden="1" customHeight="1" outlineLevel="1">
      <c r="A562" s="902"/>
      <c r="B562" s="1053">
        <v>184</v>
      </c>
      <c r="C562" s="1056"/>
      <c r="D562" s="1057"/>
      <c r="E562" s="1056"/>
      <c r="F562" s="118"/>
      <c r="G562" s="119"/>
      <c r="H562" s="1056"/>
      <c r="I562" s="1049"/>
      <c r="J562" s="1049"/>
      <c r="K562" s="911"/>
    </row>
    <row r="563" spans="1:11" s="125" customFormat="1" ht="14.25" hidden="1" customHeight="1" outlineLevel="1">
      <c r="A563" s="902"/>
      <c r="B563" s="1054"/>
      <c r="C563" s="1050"/>
      <c r="D563" s="1050"/>
      <c r="E563" s="1050"/>
      <c r="F563" s="120"/>
      <c r="G563" s="121"/>
      <c r="H563" s="1050"/>
      <c r="I563" s="1050"/>
      <c r="J563" s="1050"/>
      <c r="K563" s="911"/>
    </row>
    <row r="564" spans="1:11" s="125" customFormat="1" ht="15" hidden="1" customHeight="1" outlineLevel="1" thickBot="1">
      <c r="A564" s="902"/>
      <c r="B564" s="1058"/>
      <c r="C564" s="1052"/>
      <c r="D564" s="1052"/>
      <c r="E564" s="1052"/>
      <c r="F564" s="122"/>
      <c r="G564" s="123"/>
      <c r="H564" s="1052"/>
      <c r="I564" s="1052"/>
      <c r="J564" s="1052"/>
      <c r="K564" s="911"/>
    </row>
    <row r="565" spans="1:11" s="125" customFormat="1" ht="14.25" hidden="1" customHeight="1" outlineLevel="1">
      <c r="A565" s="902"/>
      <c r="B565" s="1053">
        <v>185</v>
      </c>
      <c r="C565" s="1056"/>
      <c r="D565" s="1057"/>
      <c r="E565" s="1056"/>
      <c r="F565" s="118"/>
      <c r="G565" s="119"/>
      <c r="H565" s="1056"/>
      <c r="I565" s="1049"/>
      <c r="J565" s="1049"/>
      <c r="K565" s="911"/>
    </row>
    <row r="566" spans="1:11" s="125" customFormat="1" ht="14.25" hidden="1" customHeight="1" outlineLevel="1">
      <c r="A566" s="902"/>
      <c r="B566" s="1054"/>
      <c r="C566" s="1050"/>
      <c r="D566" s="1050"/>
      <c r="E566" s="1050"/>
      <c r="F566" s="120"/>
      <c r="G566" s="121"/>
      <c r="H566" s="1050"/>
      <c r="I566" s="1050"/>
      <c r="J566" s="1050"/>
      <c r="K566" s="911"/>
    </row>
    <row r="567" spans="1:11" s="125" customFormat="1" ht="15" hidden="1" customHeight="1" outlineLevel="1" thickBot="1">
      <c r="A567" s="902"/>
      <c r="B567" s="1058"/>
      <c r="C567" s="1052"/>
      <c r="D567" s="1052"/>
      <c r="E567" s="1052"/>
      <c r="F567" s="122"/>
      <c r="G567" s="123"/>
      <c r="H567" s="1052"/>
      <c r="I567" s="1052"/>
      <c r="J567" s="1052"/>
      <c r="K567" s="911"/>
    </row>
    <row r="568" spans="1:11" s="125" customFormat="1" ht="14.25" hidden="1" customHeight="1" outlineLevel="1">
      <c r="A568" s="902"/>
      <c r="B568" s="1053">
        <v>186</v>
      </c>
      <c r="C568" s="1056"/>
      <c r="D568" s="1057"/>
      <c r="E568" s="1056"/>
      <c r="F568" s="118"/>
      <c r="G568" s="119"/>
      <c r="H568" s="1056"/>
      <c r="I568" s="1049"/>
      <c r="J568" s="1049"/>
      <c r="K568" s="911"/>
    </row>
    <row r="569" spans="1:11" s="125" customFormat="1" ht="14.25" hidden="1" customHeight="1" outlineLevel="1">
      <c r="A569" s="902"/>
      <c r="B569" s="1054"/>
      <c r="C569" s="1050"/>
      <c r="D569" s="1050"/>
      <c r="E569" s="1050"/>
      <c r="F569" s="120"/>
      <c r="G569" s="121"/>
      <c r="H569" s="1050"/>
      <c r="I569" s="1050"/>
      <c r="J569" s="1050"/>
      <c r="K569" s="911"/>
    </row>
    <row r="570" spans="1:11" s="125" customFormat="1" ht="15" hidden="1" customHeight="1" outlineLevel="1" thickBot="1">
      <c r="A570" s="902"/>
      <c r="B570" s="1058"/>
      <c r="C570" s="1052"/>
      <c r="D570" s="1052"/>
      <c r="E570" s="1052"/>
      <c r="F570" s="122"/>
      <c r="G570" s="123"/>
      <c r="H570" s="1052"/>
      <c r="I570" s="1052"/>
      <c r="J570" s="1052"/>
      <c r="K570" s="911"/>
    </row>
    <row r="571" spans="1:11" s="125" customFormat="1" ht="14.25" hidden="1" customHeight="1" outlineLevel="1">
      <c r="A571" s="902"/>
      <c r="B571" s="1053">
        <v>187</v>
      </c>
      <c r="C571" s="1056"/>
      <c r="D571" s="1057"/>
      <c r="E571" s="1056"/>
      <c r="F571" s="118"/>
      <c r="G571" s="119"/>
      <c r="H571" s="1056"/>
      <c r="I571" s="1049"/>
      <c r="J571" s="1049"/>
      <c r="K571" s="911"/>
    </row>
    <row r="572" spans="1:11" s="125" customFormat="1" ht="14.25" hidden="1" customHeight="1" outlineLevel="1">
      <c r="A572" s="902"/>
      <c r="B572" s="1054"/>
      <c r="C572" s="1050"/>
      <c r="D572" s="1050"/>
      <c r="E572" s="1050"/>
      <c r="F572" s="120"/>
      <c r="G572" s="121"/>
      <c r="H572" s="1050"/>
      <c r="I572" s="1050"/>
      <c r="J572" s="1050"/>
      <c r="K572" s="911"/>
    </row>
    <row r="573" spans="1:11" s="125" customFormat="1" ht="15" hidden="1" customHeight="1" outlineLevel="1" thickBot="1">
      <c r="A573" s="902"/>
      <c r="B573" s="1058"/>
      <c r="C573" s="1052"/>
      <c r="D573" s="1052"/>
      <c r="E573" s="1052"/>
      <c r="F573" s="122"/>
      <c r="G573" s="123"/>
      <c r="H573" s="1052"/>
      <c r="I573" s="1052"/>
      <c r="J573" s="1052"/>
      <c r="K573" s="911"/>
    </row>
    <row r="574" spans="1:11" s="125" customFormat="1" ht="14.25" hidden="1" customHeight="1" outlineLevel="1">
      <c r="A574" s="902"/>
      <c r="B574" s="1053">
        <v>188</v>
      </c>
      <c r="C574" s="1056"/>
      <c r="D574" s="1057"/>
      <c r="E574" s="1056"/>
      <c r="F574" s="118"/>
      <c r="G574" s="119"/>
      <c r="H574" s="1056"/>
      <c r="I574" s="1049"/>
      <c r="J574" s="1049"/>
      <c r="K574" s="911"/>
    </row>
    <row r="575" spans="1:11" s="125" customFormat="1" ht="14.25" hidden="1" customHeight="1" outlineLevel="1">
      <c r="A575" s="902"/>
      <c r="B575" s="1054"/>
      <c r="C575" s="1050"/>
      <c r="D575" s="1050"/>
      <c r="E575" s="1050"/>
      <c r="F575" s="120"/>
      <c r="G575" s="121"/>
      <c r="H575" s="1050"/>
      <c r="I575" s="1050"/>
      <c r="J575" s="1050"/>
      <c r="K575" s="911"/>
    </row>
    <row r="576" spans="1:11" s="125" customFormat="1" ht="15" hidden="1" customHeight="1" outlineLevel="1" thickBot="1">
      <c r="A576" s="902"/>
      <c r="B576" s="1058"/>
      <c r="C576" s="1052"/>
      <c r="D576" s="1052"/>
      <c r="E576" s="1052"/>
      <c r="F576" s="122"/>
      <c r="G576" s="123"/>
      <c r="H576" s="1052"/>
      <c r="I576" s="1052"/>
      <c r="J576" s="1052"/>
      <c r="K576" s="911"/>
    </row>
    <row r="577" spans="1:11" s="125" customFormat="1" ht="14.25" hidden="1" customHeight="1" outlineLevel="1">
      <c r="A577" s="902"/>
      <c r="B577" s="1053">
        <v>189</v>
      </c>
      <c r="C577" s="1056"/>
      <c r="D577" s="1057"/>
      <c r="E577" s="1056"/>
      <c r="F577" s="118"/>
      <c r="G577" s="119"/>
      <c r="H577" s="1056"/>
      <c r="I577" s="1049"/>
      <c r="J577" s="1049"/>
      <c r="K577" s="911"/>
    </row>
    <row r="578" spans="1:11" s="125" customFormat="1" ht="14.25" hidden="1" customHeight="1" outlineLevel="1">
      <c r="A578" s="902"/>
      <c r="B578" s="1054"/>
      <c r="C578" s="1050"/>
      <c r="D578" s="1050"/>
      <c r="E578" s="1050"/>
      <c r="F578" s="120"/>
      <c r="G578" s="121"/>
      <c r="H578" s="1050"/>
      <c r="I578" s="1050"/>
      <c r="J578" s="1050"/>
      <c r="K578" s="911"/>
    </row>
    <row r="579" spans="1:11" s="125" customFormat="1" ht="15" hidden="1" customHeight="1" outlineLevel="1" thickBot="1">
      <c r="A579" s="902"/>
      <c r="B579" s="1058"/>
      <c r="C579" s="1052"/>
      <c r="D579" s="1052"/>
      <c r="E579" s="1052"/>
      <c r="F579" s="122"/>
      <c r="G579" s="123"/>
      <c r="H579" s="1052"/>
      <c r="I579" s="1052"/>
      <c r="J579" s="1052"/>
      <c r="K579" s="911"/>
    </row>
    <row r="580" spans="1:11" s="125" customFormat="1" ht="14.25" hidden="1" customHeight="1" outlineLevel="1">
      <c r="A580" s="902"/>
      <c r="B580" s="1053">
        <v>190</v>
      </c>
      <c r="C580" s="1056"/>
      <c r="D580" s="1057"/>
      <c r="E580" s="1056"/>
      <c r="F580" s="118"/>
      <c r="G580" s="119"/>
      <c r="H580" s="1056"/>
      <c r="I580" s="1049"/>
      <c r="J580" s="1049"/>
      <c r="K580" s="911"/>
    </row>
    <row r="581" spans="1:11" s="125" customFormat="1" ht="14.25" hidden="1" customHeight="1" outlineLevel="1">
      <c r="A581" s="902"/>
      <c r="B581" s="1054"/>
      <c r="C581" s="1050"/>
      <c r="D581" s="1050"/>
      <c r="E581" s="1050"/>
      <c r="F581" s="120"/>
      <c r="G581" s="121"/>
      <c r="H581" s="1050"/>
      <c r="I581" s="1050"/>
      <c r="J581" s="1050"/>
      <c r="K581" s="911"/>
    </row>
    <row r="582" spans="1:11" s="125" customFormat="1" ht="15" hidden="1" customHeight="1" outlineLevel="1" thickBot="1">
      <c r="A582" s="902"/>
      <c r="B582" s="1058"/>
      <c r="C582" s="1052"/>
      <c r="D582" s="1052"/>
      <c r="E582" s="1052"/>
      <c r="F582" s="122"/>
      <c r="G582" s="123"/>
      <c r="H582" s="1052"/>
      <c r="I582" s="1052"/>
      <c r="J582" s="1052"/>
      <c r="K582" s="911"/>
    </row>
    <row r="583" spans="1:11" s="125" customFormat="1" ht="14.25" hidden="1" customHeight="1" outlineLevel="1">
      <c r="A583" s="902"/>
      <c r="B583" s="1053">
        <v>191</v>
      </c>
      <c r="C583" s="1056"/>
      <c r="D583" s="1057"/>
      <c r="E583" s="1056"/>
      <c r="F583" s="118"/>
      <c r="G583" s="119"/>
      <c r="H583" s="1056"/>
      <c r="I583" s="1049"/>
      <c r="J583" s="1049"/>
      <c r="K583" s="911"/>
    </row>
    <row r="584" spans="1:11" s="125" customFormat="1" ht="14.25" hidden="1" customHeight="1" outlineLevel="1">
      <c r="A584" s="902"/>
      <c r="B584" s="1054"/>
      <c r="C584" s="1050"/>
      <c r="D584" s="1050"/>
      <c r="E584" s="1050"/>
      <c r="F584" s="120"/>
      <c r="G584" s="121"/>
      <c r="H584" s="1050"/>
      <c r="I584" s="1050"/>
      <c r="J584" s="1050"/>
      <c r="K584" s="911"/>
    </row>
    <row r="585" spans="1:11" s="125" customFormat="1" ht="15" hidden="1" customHeight="1" outlineLevel="1" thickBot="1">
      <c r="A585" s="902"/>
      <c r="B585" s="1058"/>
      <c r="C585" s="1052"/>
      <c r="D585" s="1052"/>
      <c r="E585" s="1052"/>
      <c r="F585" s="122"/>
      <c r="G585" s="123"/>
      <c r="H585" s="1052"/>
      <c r="I585" s="1052"/>
      <c r="J585" s="1052"/>
      <c r="K585" s="911"/>
    </row>
    <row r="586" spans="1:11" s="125" customFormat="1" ht="14.25" hidden="1" customHeight="1" outlineLevel="1">
      <c r="A586" s="902"/>
      <c r="B586" s="1053">
        <v>192</v>
      </c>
      <c r="C586" s="1056"/>
      <c r="D586" s="1057"/>
      <c r="E586" s="1056"/>
      <c r="F586" s="118"/>
      <c r="G586" s="119"/>
      <c r="H586" s="1056"/>
      <c r="I586" s="1049"/>
      <c r="J586" s="1049"/>
      <c r="K586" s="911"/>
    </row>
    <row r="587" spans="1:11" s="125" customFormat="1" ht="14.25" hidden="1" customHeight="1" outlineLevel="1">
      <c r="A587" s="902"/>
      <c r="B587" s="1054"/>
      <c r="C587" s="1050"/>
      <c r="D587" s="1050"/>
      <c r="E587" s="1050"/>
      <c r="F587" s="120"/>
      <c r="G587" s="121"/>
      <c r="H587" s="1050"/>
      <c r="I587" s="1050"/>
      <c r="J587" s="1050"/>
      <c r="K587" s="911"/>
    </row>
    <row r="588" spans="1:11" s="125" customFormat="1" ht="15" hidden="1" customHeight="1" outlineLevel="1" thickBot="1">
      <c r="A588" s="902"/>
      <c r="B588" s="1058"/>
      <c r="C588" s="1052"/>
      <c r="D588" s="1052"/>
      <c r="E588" s="1052"/>
      <c r="F588" s="122"/>
      <c r="G588" s="123"/>
      <c r="H588" s="1052"/>
      <c r="I588" s="1052"/>
      <c r="J588" s="1052"/>
      <c r="K588" s="911"/>
    </row>
    <row r="589" spans="1:11" s="125" customFormat="1" ht="14.25" hidden="1" customHeight="1" outlineLevel="1">
      <c r="A589" s="902"/>
      <c r="B589" s="1053">
        <v>193</v>
      </c>
      <c r="C589" s="1056"/>
      <c r="D589" s="1057"/>
      <c r="E589" s="1056"/>
      <c r="F589" s="118"/>
      <c r="G589" s="119"/>
      <c r="H589" s="1056"/>
      <c r="I589" s="1049"/>
      <c r="J589" s="1049"/>
      <c r="K589" s="911"/>
    </row>
    <row r="590" spans="1:11" s="125" customFormat="1" ht="14.25" hidden="1" customHeight="1" outlineLevel="1">
      <c r="A590" s="902"/>
      <c r="B590" s="1054"/>
      <c r="C590" s="1050"/>
      <c r="D590" s="1050"/>
      <c r="E590" s="1050"/>
      <c r="F590" s="120"/>
      <c r="G590" s="121"/>
      <c r="H590" s="1050"/>
      <c r="I590" s="1050"/>
      <c r="J590" s="1050"/>
      <c r="K590" s="911"/>
    </row>
    <row r="591" spans="1:11" s="125" customFormat="1" ht="15" hidden="1" customHeight="1" outlineLevel="1" thickBot="1">
      <c r="A591" s="902"/>
      <c r="B591" s="1058"/>
      <c r="C591" s="1052"/>
      <c r="D591" s="1052"/>
      <c r="E591" s="1052"/>
      <c r="F591" s="122"/>
      <c r="G591" s="123"/>
      <c r="H591" s="1052"/>
      <c r="I591" s="1052"/>
      <c r="J591" s="1052"/>
      <c r="K591" s="911"/>
    </row>
    <row r="592" spans="1:11" s="125" customFormat="1" ht="14.25" hidden="1" customHeight="1" outlineLevel="1">
      <c r="A592" s="902"/>
      <c r="B592" s="1053">
        <v>194</v>
      </c>
      <c r="C592" s="1056"/>
      <c r="D592" s="1057"/>
      <c r="E592" s="1056"/>
      <c r="F592" s="118"/>
      <c r="G592" s="119"/>
      <c r="H592" s="1056"/>
      <c r="I592" s="1049"/>
      <c r="J592" s="1049"/>
      <c r="K592" s="911"/>
    </row>
    <row r="593" spans="1:11" s="125" customFormat="1" ht="14.25" hidden="1" customHeight="1" outlineLevel="1">
      <c r="A593" s="902"/>
      <c r="B593" s="1054"/>
      <c r="C593" s="1050"/>
      <c r="D593" s="1050"/>
      <c r="E593" s="1050"/>
      <c r="F593" s="120"/>
      <c r="G593" s="121"/>
      <c r="H593" s="1050"/>
      <c r="I593" s="1050"/>
      <c r="J593" s="1050"/>
      <c r="K593" s="911"/>
    </row>
    <row r="594" spans="1:11" s="125" customFormat="1" ht="15" hidden="1" customHeight="1" outlineLevel="1" thickBot="1">
      <c r="A594" s="902"/>
      <c r="B594" s="1058"/>
      <c r="C594" s="1052"/>
      <c r="D594" s="1052"/>
      <c r="E594" s="1052"/>
      <c r="F594" s="122"/>
      <c r="G594" s="123"/>
      <c r="H594" s="1052"/>
      <c r="I594" s="1052"/>
      <c r="J594" s="1052"/>
      <c r="K594" s="911"/>
    </row>
    <row r="595" spans="1:11" s="125" customFormat="1" ht="14.25" hidden="1" customHeight="1" outlineLevel="1">
      <c r="A595" s="902"/>
      <c r="B595" s="1053">
        <v>195</v>
      </c>
      <c r="C595" s="1056"/>
      <c r="D595" s="1057"/>
      <c r="E595" s="1056"/>
      <c r="F595" s="118"/>
      <c r="G595" s="119"/>
      <c r="H595" s="1056"/>
      <c r="I595" s="1049"/>
      <c r="J595" s="1049"/>
      <c r="K595" s="911"/>
    </row>
    <row r="596" spans="1:11" s="125" customFormat="1" ht="14.25" hidden="1" customHeight="1" outlineLevel="1">
      <c r="A596" s="902"/>
      <c r="B596" s="1054"/>
      <c r="C596" s="1050"/>
      <c r="D596" s="1050"/>
      <c r="E596" s="1050"/>
      <c r="F596" s="120"/>
      <c r="G596" s="121"/>
      <c r="H596" s="1050"/>
      <c r="I596" s="1050"/>
      <c r="J596" s="1050"/>
      <c r="K596" s="911"/>
    </row>
    <row r="597" spans="1:11" s="125" customFormat="1" ht="15" hidden="1" customHeight="1" outlineLevel="1" thickBot="1">
      <c r="A597" s="902"/>
      <c r="B597" s="1058"/>
      <c r="C597" s="1052"/>
      <c r="D597" s="1052"/>
      <c r="E597" s="1052"/>
      <c r="F597" s="122"/>
      <c r="G597" s="123"/>
      <c r="H597" s="1052"/>
      <c r="I597" s="1052"/>
      <c r="J597" s="1052"/>
      <c r="K597" s="911"/>
    </row>
    <row r="598" spans="1:11" s="125" customFormat="1" ht="14.25" hidden="1" customHeight="1" outlineLevel="1">
      <c r="A598" s="902"/>
      <c r="B598" s="1053">
        <v>196</v>
      </c>
      <c r="C598" s="1056"/>
      <c r="D598" s="1057"/>
      <c r="E598" s="1056"/>
      <c r="F598" s="118"/>
      <c r="G598" s="119"/>
      <c r="H598" s="1056"/>
      <c r="I598" s="1049"/>
      <c r="J598" s="1049"/>
      <c r="K598" s="911"/>
    </row>
    <row r="599" spans="1:11" s="125" customFormat="1" ht="14.25" hidden="1" customHeight="1" outlineLevel="1">
      <c r="A599" s="902"/>
      <c r="B599" s="1054"/>
      <c r="C599" s="1050"/>
      <c r="D599" s="1050"/>
      <c r="E599" s="1050"/>
      <c r="F599" s="120"/>
      <c r="G599" s="121"/>
      <c r="H599" s="1050"/>
      <c r="I599" s="1050"/>
      <c r="J599" s="1050"/>
      <c r="K599" s="911"/>
    </row>
    <row r="600" spans="1:11" s="125" customFormat="1" ht="15" hidden="1" customHeight="1" outlineLevel="1" thickBot="1">
      <c r="A600" s="902"/>
      <c r="B600" s="1058"/>
      <c r="C600" s="1052"/>
      <c r="D600" s="1052"/>
      <c r="E600" s="1052"/>
      <c r="F600" s="122"/>
      <c r="G600" s="123"/>
      <c r="H600" s="1052"/>
      <c r="I600" s="1052"/>
      <c r="J600" s="1052"/>
      <c r="K600" s="911"/>
    </row>
    <row r="601" spans="1:11" s="125" customFormat="1" ht="14.25" hidden="1" customHeight="1" outlineLevel="1">
      <c r="A601" s="902"/>
      <c r="B601" s="1053">
        <v>197</v>
      </c>
      <c r="C601" s="1056"/>
      <c r="D601" s="1057"/>
      <c r="E601" s="1056"/>
      <c r="F601" s="118"/>
      <c r="G601" s="119"/>
      <c r="H601" s="1056"/>
      <c r="I601" s="1049"/>
      <c r="J601" s="1049"/>
      <c r="K601" s="911"/>
    </row>
    <row r="602" spans="1:11" s="125" customFormat="1" ht="14.25" hidden="1" customHeight="1" outlineLevel="1">
      <c r="A602" s="902"/>
      <c r="B602" s="1054"/>
      <c r="C602" s="1050"/>
      <c r="D602" s="1050"/>
      <c r="E602" s="1050"/>
      <c r="F602" s="120"/>
      <c r="G602" s="121"/>
      <c r="H602" s="1050"/>
      <c r="I602" s="1050"/>
      <c r="J602" s="1050"/>
      <c r="K602" s="911"/>
    </row>
    <row r="603" spans="1:11" s="125" customFormat="1" ht="15" hidden="1" customHeight="1" outlineLevel="1" thickBot="1">
      <c r="A603" s="902"/>
      <c r="B603" s="1058"/>
      <c r="C603" s="1052"/>
      <c r="D603" s="1052"/>
      <c r="E603" s="1052"/>
      <c r="F603" s="122"/>
      <c r="G603" s="123"/>
      <c r="H603" s="1052"/>
      <c r="I603" s="1052"/>
      <c r="J603" s="1052"/>
      <c r="K603" s="911"/>
    </row>
    <row r="604" spans="1:11" s="125" customFormat="1" ht="14.25" hidden="1" customHeight="1" outlineLevel="1">
      <c r="A604" s="902"/>
      <c r="B604" s="1053">
        <v>198</v>
      </c>
      <c r="C604" s="1056"/>
      <c r="D604" s="1057"/>
      <c r="E604" s="1056"/>
      <c r="F604" s="118"/>
      <c r="G604" s="119"/>
      <c r="H604" s="1056"/>
      <c r="I604" s="1049"/>
      <c r="J604" s="1049"/>
      <c r="K604" s="911"/>
    </row>
    <row r="605" spans="1:11" s="125" customFormat="1" ht="14.25" hidden="1" customHeight="1" outlineLevel="1">
      <c r="A605" s="902"/>
      <c r="B605" s="1054"/>
      <c r="C605" s="1050"/>
      <c r="D605" s="1050"/>
      <c r="E605" s="1050"/>
      <c r="F605" s="120"/>
      <c r="G605" s="121"/>
      <c r="H605" s="1050"/>
      <c r="I605" s="1050"/>
      <c r="J605" s="1050"/>
      <c r="K605" s="911"/>
    </row>
    <row r="606" spans="1:11" s="125" customFormat="1" ht="15" hidden="1" customHeight="1" outlineLevel="1" thickBot="1">
      <c r="A606" s="902"/>
      <c r="B606" s="1058"/>
      <c r="C606" s="1052"/>
      <c r="D606" s="1052"/>
      <c r="E606" s="1052"/>
      <c r="F606" s="122"/>
      <c r="G606" s="123"/>
      <c r="H606" s="1052"/>
      <c r="I606" s="1052"/>
      <c r="J606" s="1052"/>
      <c r="K606" s="911"/>
    </row>
    <row r="607" spans="1:11" s="125" customFormat="1" ht="14.25" hidden="1" customHeight="1" outlineLevel="1">
      <c r="A607" s="902"/>
      <c r="B607" s="1053">
        <v>199</v>
      </c>
      <c r="C607" s="1056"/>
      <c r="D607" s="1057"/>
      <c r="E607" s="1056"/>
      <c r="F607" s="118"/>
      <c r="G607" s="119"/>
      <c r="H607" s="1056"/>
      <c r="I607" s="1049"/>
      <c r="J607" s="1049"/>
      <c r="K607" s="911"/>
    </row>
    <row r="608" spans="1:11" s="125" customFormat="1" ht="14.25" hidden="1" customHeight="1" outlineLevel="1">
      <c r="A608" s="902"/>
      <c r="B608" s="1054"/>
      <c r="C608" s="1050"/>
      <c r="D608" s="1050"/>
      <c r="E608" s="1050"/>
      <c r="F608" s="120"/>
      <c r="G608" s="121"/>
      <c r="H608" s="1050"/>
      <c r="I608" s="1050"/>
      <c r="J608" s="1050"/>
      <c r="K608" s="911"/>
    </row>
    <row r="609" spans="1:11" s="125" customFormat="1" ht="15" hidden="1" customHeight="1" outlineLevel="1" thickBot="1">
      <c r="A609" s="902"/>
      <c r="B609" s="1058"/>
      <c r="C609" s="1052"/>
      <c r="D609" s="1052"/>
      <c r="E609" s="1052"/>
      <c r="F609" s="122"/>
      <c r="G609" s="123"/>
      <c r="H609" s="1052"/>
      <c r="I609" s="1052"/>
      <c r="J609" s="1052"/>
      <c r="K609" s="911"/>
    </row>
    <row r="610" spans="1:11" s="125" customFormat="1" ht="14.25" hidden="1" customHeight="1" outlineLevel="1">
      <c r="A610" s="902"/>
      <c r="B610" s="1053">
        <v>200</v>
      </c>
      <c r="C610" s="1056"/>
      <c r="D610" s="1057"/>
      <c r="E610" s="1056"/>
      <c r="F610" s="118"/>
      <c r="G610" s="119"/>
      <c r="H610" s="1056"/>
      <c r="I610" s="1049"/>
      <c r="J610" s="1049"/>
      <c r="K610" s="911"/>
    </row>
    <row r="611" spans="1:11" s="125" customFormat="1" ht="14.25" hidden="1" customHeight="1" outlineLevel="1">
      <c r="A611" s="902"/>
      <c r="B611" s="1054"/>
      <c r="C611" s="1050"/>
      <c r="D611" s="1050"/>
      <c r="E611" s="1050"/>
      <c r="F611" s="120"/>
      <c r="G611" s="121"/>
      <c r="H611" s="1050"/>
      <c r="I611" s="1050"/>
      <c r="J611" s="1050"/>
      <c r="K611" s="911"/>
    </row>
    <row r="612" spans="1:11" s="125" customFormat="1" ht="15" hidden="1" customHeight="1" outlineLevel="1" thickBot="1">
      <c r="A612" s="902"/>
      <c r="B612" s="1055"/>
      <c r="C612" s="1051"/>
      <c r="D612" s="1051"/>
      <c r="E612" s="1051"/>
      <c r="F612" s="122"/>
      <c r="G612" s="126"/>
      <c r="H612" s="1051"/>
      <c r="I612" s="1051"/>
      <c r="J612" s="1051"/>
      <c r="K612" s="911"/>
    </row>
    <row r="613" spans="1:11" ht="19.5" customHeight="1" collapsed="1" thickBot="1">
      <c r="A613" s="903"/>
      <c r="B613" s="904"/>
      <c r="C613" s="904"/>
      <c r="D613" s="905"/>
      <c r="E613" s="905"/>
      <c r="F613" s="905"/>
      <c r="G613" s="905"/>
      <c r="H613" s="127" t="s">
        <v>6</v>
      </c>
      <c r="I613" s="128">
        <f>SUM(I13:I612)</f>
        <v>0</v>
      </c>
      <c r="J613" s="128"/>
      <c r="K613" s="912"/>
    </row>
    <row r="614" spans="1:11" ht="13.8">
      <c r="A614" s="903"/>
      <c r="B614" s="903"/>
      <c r="C614" s="906"/>
      <c r="D614" s="905"/>
      <c r="E614" s="905"/>
      <c r="F614" s="905"/>
      <c r="G614" s="905"/>
      <c r="H614" s="905"/>
      <c r="I614" s="903"/>
      <c r="J614" s="903"/>
      <c r="K614" s="905"/>
    </row>
    <row r="615" spans="1:11" ht="12.75" customHeight="1">
      <c r="A615" s="903"/>
      <c r="B615" s="903"/>
      <c r="C615" s="906"/>
      <c r="D615" s="906"/>
      <c r="E615" s="906"/>
      <c r="F615" s="906"/>
      <c r="G615" s="906"/>
      <c r="H615" s="906"/>
      <c r="I615" s="903"/>
      <c r="J615" s="903"/>
      <c r="K615" s="906"/>
    </row>
    <row r="616" spans="1:11">
      <c r="A616" s="903"/>
      <c r="C616" s="86"/>
      <c r="I616" s="130"/>
      <c r="J616" s="130"/>
    </row>
    <row r="617" spans="1:11">
      <c r="I617" s="130"/>
      <c r="J617" s="130"/>
    </row>
    <row r="618" spans="1:11" ht="12.75" customHeight="1">
      <c r="I618" s="130"/>
      <c r="J618" s="130"/>
    </row>
  </sheetData>
  <mergeCells count="1415">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s>
  <phoneticPr fontId="2" type="noConversion"/>
  <hyperlinks>
    <hyperlink ref="C1" location="Spis!B35" display="&gt;&gt; powrót do spisu treści" xr:uid="{00000000-0004-0000-0A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7">
    <pageSetUpPr fitToPage="1"/>
  </sheetPr>
  <dimension ref="A1:S2067"/>
  <sheetViews>
    <sheetView topLeftCell="G1" zoomScale="90" zoomScaleNormal="90" workbookViewId="0">
      <pane ySplit="6" topLeftCell="A7" activePane="bottomLeft" state="frozen"/>
      <selection pane="bottomLeft" activeCell="B2" sqref="B2:C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4" width="15.81640625" style="81" hidden="1" customWidth="1"/>
    <col min="15" max="15" width="7.363281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c r="M1" s="896"/>
    </row>
    <row r="2" spans="1:19" s="112" customFormat="1" ht="24.9" customHeight="1">
      <c r="A2" s="920"/>
      <c r="B2" s="948" t="s">
        <v>19</v>
      </c>
      <c r="C2" s="948"/>
      <c r="D2" s="920"/>
      <c r="E2" s="920"/>
      <c r="F2" s="920"/>
      <c r="G2" s="920"/>
      <c r="H2" s="907"/>
      <c r="I2" s="875"/>
      <c r="J2" s="876"/>
      <c r="K2" s="869"/>
      <c r="L2" s="869"/>
      <c r="M2" s="869"/>
    </row>
    <row r="3" spans="1:19" ht="15" customHeight="1">
      <c r="A3" s="914"/>
      <c r="B3" s="930" t="s">
        <v>14</v>
      </c>
      <c r="C3" s="1081" t="s">
        <v>21</v>
      </c>
      <c r="D3" s="1082"/>
      <c r="E3" s="1082"/>
      <c r="F3" s="1082"/>
      <c r="G3" s="1082"/>
      <c r="H3" s="1046"/>
      <c r="I3" s="921"/>
      <c r="J3" s="922"/>
      <c r="K3" s="922"/>
      <c r="L3" s="896"/>
      <c r="M3" s="896"/>
    </row>
    <row r="4" spans="1:19" ht="15" customHeight="1">
      <c r="A4" s="914"/>
      <c r="B4" s="931" t="s">
        <v>29</v>
      </c>
      <c r="C4" s="1081" t="s">
        <v>181</v>
      </c>
      <c r="D4" s="1082"/>
      <c r="E4" s="1082"/>
      <c r="F4" s="1082"/>
      <c r="G4" s="1082"/>
      <c r="H4" s="1035"/>
      <c r="I4" s="919"/>
      <c r="J4" s="896"/>
      <c r="K4" s="896"/>
      <c r="L4" s="896"/>
      <c r="M4" s="896"/>
    </row>
    <row r="5" spans="1:19" ht="15" customHeight="1">
      <c r="A5" s="896"/>
      <c r="B5" s="913" t="s">
        <v>30</v>
      </c>
      <c r="C5" s="1044" t="s">
        <v>107</v>
      </c>
      <c r="D5" s="1044"/>
      <c r="E5" s="1044"/>
      <c r="F5" s="1044"/>
      <c r="G5" s="1044"/>
      <c r="H5" s="1035"/>
      <c r="I5" s="919"/>
      <c r="J5" s="896"/>
      <c r="K5" s="896"/>
      <c r="L5" s="896"/>
      <c r="M5" s="896"/>
    </row>
    <row r="6" spans="1:19" ht="50.1" customHeight="1">
      <c r="A6" s="896"/>
      <c r="B6" s="913" t="s">
        <v>37</v>
      </c>
      <c r="C6" s="1044" t="s">
        <v>179</v>
      </c>
      <c r="D6" s="1048"/>
      <c r="E6" s="1048"/>
      <c r="F6" s="1048"/>
      <c r="G6" s="1048"/>
      <c r="H6" s="1035"/>
      <c r="I6" s="919"/>
      <c r="J6" s="896"/>
      <c r="K6" s="896"/>
      <c r="L6" s="896"/>
      <c r="M6" s="896"/>
    </row>
    <row r="7" spans="1:19" s="82" customFormat="1" ht="30" customHeight="1" thickBot="1">
      <c r="A7" s="923"/>
      <c r="B7" s="924" t="s">
        <v>253</v>
      </c>
      <c r="C7" s="923"/>
      <c r="D7" s="925"/>
      <c r="E7" s="923"/>
      <c r="F7" s="926"/>
      <c r="G7" s="927"/>
      <c r="H7" s="928"/>
      <c r="I7" s="928"/>
      <c r="J7" s="929"/>
      <c r="K7" s="929"/>
      <c r="L7" s="929"/>
      <c r="M7" s="929"/>
    </row>
    <row r="8" spans="1:19" ht="20.100000000000001" customHeight="1" thickBot="1">
      <c r="A8" s="896"/>
      <c r="B8" s="1104" t="str">
        <f>'Tab.G1.1-4'!$B$8</f>
        <v>LP</v>
      </c>
      <c r="C8" s="1077" t="str">
        <f>Tab.G6!$C$9</f>
        <v>Nazwa projektu inwestycyjnego</v>
      </c>
      <c r="D8" s="1078" t="str">
        <f>Tab.G6!$D$9</f>
        <v>Lokalizacja projektu inwestycyjnego</v>
      </c>
      <c r="E8" s="1077" t="str">
        <f>Tab.G6!$E$9</f>
        <v>Cel realizacji projektu</v>
      </c>
      <c r="F8" s="1077" t="str">
        <f>Tab.G6!$F$9</f>
        <v>Spodziewane efekty, wynikające z realizacji projektu</v>
      </c>
      <c r="G8" s="1078" t="str">
        <f>Tab.G6!$G$9</f>
        <v>Wartość dla poszczególnych spodziewanych efektów</v>
      </c>
      <c r="H8" s="1078" t="str">
        <f>"Rodzaj i zakres powiązania projektu z główną działalnością"</f>
        <v>Rodzaj i zakres powiązania projektu z główną działalnością</v>
      </c>
      <c r="I8" s="1077" t="str">
        <f>Tab.G6!$H$9</f>
        <v>Zakres prac</v>
      </c>
      <c r="J8" s="632" t="str">
        <f>'Tab.G1.1-4'!$E$8</f>
        <v>Wykonanie</v>
      </c>
      <c r="K8" s="1075" t="str">
        <f>Tab.G6!$J$9</f>
        <v>UWAGI</v>
      </c>
      <c r="L8" s="894"/>
      <c r="M8" s="894"/>
      <c r="N8" s="79"/>
      <c r="O8" s="79"/>
      <c r="P8" s="79"/>
      <c r="Q8" s="79"/>
      <c r="R8" s="79"/>
      <c r="S8" s="79"/>
    </row>
    <row r="9" spans="1:19" ht="20.100000000000001" customHeight="1" thickBot="1">
      <c r="A9" s="896"/>
      <c r="B9" s="1105"/>
      <c r="C9" s="1077"/>
      <c r="D9" s="1102"/>
      <c r="E9" s="1077"/>
      <c r="F9" s="1077"/>
      <c r="G9" s="1080"/>
      <c r="H9" s="1080"/>
      <c r="I9" s="1077"/>
      <c r="J9" s="633">
        <f>Rok_ZPR</f>
        <v>2020</v>
      </c>
      <c r="K9" s="1076"/>
      <c r="L9" s="876"/>
      <c r="M9" s="876"/>
      <c r="N9" s="79"/>
      <c r="O9" s="79"/>
      <c r="P9" s="79"/>
      <c r="Q9" s="79"/>
      <c r="R9" s="79"/>
      <c r="S9" s="79"/>
    </row>
    <row r="10" spans="1:19" ht="20.100000000000001" customHeight="1">
      <c r="A10" s="896"/>
      <c r="B10" s="1106"/>
      <c r="C10" s="1078"/>
      <c r="D10" s="1102"/>
      <c r="E10" s="1078"/>
      <c r="F10" s="1078"/>
      <c r="G10" s="1080"/>
      <c r="H10" s="1080"/>
      <c r="I10" s="1078"/>
      <c r="J10" s="633" t="str">
        <f>'Tab.G1.1-4'!$D$11</f>
        <v>[tys. zł]</v>
      </c>
      <c r="K10" s="1076"/>
      <c r="L10" s="907"/>
      <c r="M10" s="907"/>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5.6" thickBot="1">
      <c r="A12" s="916"/>
      <c r="B12" s="90"/>
      <c r="C12" s="113"/>
      <c r="D12" s="91"/>
      <c r="E12" s="90"/>
      <c r="F12" s="90"/>
      <c r="G12" s="91"/>
      <c r="H12" s="91"/>
      <c r="I12" s="91"/>
      <c r="J12" s="92"/>
      <c r="K12" s="92"/>
      <c r="L12" s="908"/>
      <c r="M12" s="908"/>
    </row>
    <row r="13" spans="1:19" s="85" customFormat="1" ht="12.75" customHeight="1">
      <c r="A13" s="916"/>
      <c r="B13" s="1086">
        <v>1</v>
      </c>
      <c r="C13" s="1109"/>
      <c r="D13" s="1091"/>
      <c r="E13" s="1091" t="s">
        <v>20</v>
      </c>
      <c r="F13" s="1093" t="str">
        <f>VLOOKUP(E13,$N$13:$O$17,2,0)</f>
        <v>-</v>
      </c>
      <c r="G13" s="95"/>
      <c r="H13" s="1091"/>
      <c r="I13" s="1091"/>
      <c r="J13" s="1084"/>
      <c r="K13" s="1084"/>
      <c r="L13" s="908"/>
      <c r="M13" s="908"/>
      <c r="N13" s="96" t="s">
        <v>22</v>
      </c>
      <c r="O13" s="97" t="s">
        <v>23</v>
      </c>
    </row>
    <row r="14" spans="1:19" s="85" customFormat="1" ht="12.75" customHeight="1">
      <c r="A14" s="916"/>
      <c r="B14" s="1086"/>
      <c r="C14" s="1095"/>
      <c r="D14" s="1091"/>
      <c r="E14" s="1091"/>
      <c r="F14" s="1093"/>
      <c r="G14" s="98"/>
      <c r="H14" s="1091"/>
      <c r="I14" s="1091"/>
      <c r="J14" s="1084"/>
      <c r="K14" s="1084"/>
      <c r="L14" s="908"/>
      <c r="M14" s="908"/>
      <c r="N14" s="99" t="s">
        <v>24</v>
      </c>
      <c r="O14" s="100" t="s">
        <v>62</v>
      </c>
    </row>
    <row r="15" spans="1:19" s="85" customFormat="1" ht="12.75" customHeight="1">
      <c r="A15" s="916"/>
      <c r="B15" s="1087"/>
      <c r="C15" s="1096"/>
      <c r="D15" s="1092"/>
      <c r="E15" s="1092"/>
      <c r="F15" s="1094"/>
      <c r="G15" s="103"/>
      <c r="H15" s="1092"/>
      <c r="I15" s="1092"/>
      <c r="J15" s="1085"/>
      <c r="K15" s="1085"/>
      <c r="L15" s="908"/>
      <c r="M15" s="908"/>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908"/>
      <c r="N16" s="99" t="s">
        <v>27</v>
      </c>
      <c r="O16" s="100" t="s">
        <v>28</v>
      </c>
    </row>
    <row r="17" spans="1:15" s="85" customFormat="1" ht="12.75" customHeight="1" thickBot="1">
      <c r="A17" s="916"/>
      <c r="B17" s="1086"/>
      <c r="C17" s="1095"/>
      <c r="D17" s="1091"/>
      <c r="E17" s="1091"/>
      <c r="F17" s="1093"/>
      <c r="G17" s="98"/>
      <c r="H17" s="1091"/>
      <c r="I17" s="1091"/>
      <c r="J17" s="1084"/>
      <c r="K17" s="1084"/>
      <c r="L17" s="908"/>
      <c r="M17" s="908"/>
      <c r="N17" s="104" t="s">
        <v>20</v>
      </c>
      <c r="O17" s="105" t="s">
        <v>20</v>
      </c>
    </row>
    <row r="18" spans="1:15" s="85" customFormat="1" ht="12.75" customHeight="1">
      <c r="A18" s="916"/>
      <c r="B18" s="1087"/>
      <c r="C18" s="1096"/>
      <c r="D18" s="1092"/>
      <c r="E18" s="1092"/>
      <c r="F18" s="1094"/>
      <c r="G18" s="103"/>
      <c r="H18" s="1092"/>
      <c r="I18" s="1092"/>
      <c r="J18" s="1085"/>
      <c r="K18" s="1085"/>
      <c r="L18" s="908"/>
      <c r="M18" s="908"/>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908"/>
      <c r="N19" s="106"/>
      <c r="O19" s="107"/>
    </row>
    <row r="20" spans="1:15" s="85" customFormat="1" ht="12.75" customHeight="1">
      <c r="A20" s="916"/>
      <c r="B20" s="1086"/>
      <c r="C20" s="1095"/>
      <c r="D20" s="1091"/>
      <c r="E20" s="1091"/>
      <c r="F20" s="1093"/>
      <c r="G20" s="98"/>
      <c r="H20" s="1091"/>
      <c r="I20" s="1091"/>
      <c r="J20" s="1084"/>
      <c r="K20" s="1084"/>
      <c r="L20" s="908"/>
      <c r="M20" s="908"/>
      <c r="N20" s="106"/>
      <c r="O20" s="107"/>
    </row>
    <row r="21" spans="1:15" s="85" customFormat="1" ht="12.75" customHeight="1">
      <c r="A21" s="916"/>
      <c r="B21" s="1087"/>
      <c r="C21" s="1096"/>
      <c r="D21" s="1092"/>
      <c r="E21" s="1092"/>
      <c r="F21" s="1094"/>
      <c r="G21" s="103"/>
      <c r="H21" s="1092"/>
      <c r="I21" s="1092"/>
      <c r="J21" s="1085"/>
      <c r="K21" s="1085"/>
      <c r="L21" s="908"/>
      <c r="M21" s="908"/>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908"/>
      <c r="N22" s="106"/>
      <c r="O22" s="107"/>
    </row>
    <row r="23" spans="1:15" s="85" customFormat="1" ht="12.75" customHeight="1">
      <c r="A23" s="916"/>
      <c r="B23" s="1086"/>
      <c r="C23" s="1095"/>
      <c r="D23" s="1091"/>
      <c r="E23" s="1091"/>
      <c r="F23" s="1093"/>
      <c r="G23" s="98"/>
      <c r="H23" s="1091"/>
      <c r="I23" s="1091"/>
      <c r="J23" s="1084"/>
      <c r="K23" s="1084"/>
      <c r="L23" s="908"/>
      <c r="M23" s="908"/>
      <c r="N23" s="106"/>
      <c r="O23" s="107"/>
    </row>
    <row r="24" spans="1:15" s="85" customFormat="1" ht="12.75" customHeight="1">
      <c r="A24" s="916"/>
      <c r="B24" s="1087"/>
      <c r="C24" s="1096"/>
      <c r="D24" s="1092"/>
      <c r="E24" s="1092"/>
      <c r="F24" s="1094"/>
      <c r="G24" s="103"/>
      <c r="H24" s="1092"/>
      <c r="I24" s="1092"/>
      <c r="J24" s="1085"/>
      <c r="K24" s="1085"/>
      <c r="L24" s="908"/>
      <c r="M24" s="908"/>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908"/>
      <c r="N25" s="106"/>
      <c r="O25" s="107"/>
    </row>
    <row r="26" spans="1:15" s="85" customFormat="1" ht="12.75" customHeight="1">
      <c r="A26" s="916"/>
      <c r="B26" s="1086"/>
      <c r="C26" s="1095"/>
      <c r="D26" s="1091"/>
      <c r="E26" s="1091"/>
      <c r="F26" s="1093"/>
      <c r="G26" s="98"/>
      <c r="H26" s="1091"/>
      <c r="I26" s="1091"/>
      <c r="J26" s="1084"/>
      <c r="K26" s="1084"/>
      <c r="L26" s="908"/>
      <c r="M26" s="908"/>
      <c r="N26" s="106"/>
      <c r="O26" s="107"/>
    </row>
    <row r="27" spans="1:15" s="85" customFormat="1" ht="12.75" customHeight="1">
      <c r="A27" s="916"/>
      <c r="B27" s="1087"/>
      <c r="C27" s="1096"/>
      <c r="D27" s="1092"/>
      <c r="E27" s="1092"/>
      <c r="F27" s="1094"/>
      <c r="G27" s="103"/>
      <c r="H27" s="1092"/>
      <c r="I27" s="1092"/>
      <c r="J27" s="1085"/>
      <c r="K27" s="1085"/>
      <c r="L27" s="908"/>
      <c r="M27" s="908"/>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908"/>
      <c r="N28" s="106"/>
      <c r="O28" s="107"/>
    </row>
    <row r="29" spans="1:15" s="85" customFormat="1" ht="12.75" customHeight="1">
      <c r="A29" s="916"/>
      <c r="B29" s="1086"/>
      <c r="C29" s="1095"/>
      <c r="D29" s="1091"/>
      <c r="E29" s="1091"/>
      <c r="F29" s="1093"/>
      <c r="G29" s="98"/>
      <c r="H29" s="1091"/>
      <c r="I29" s="1091"/>
      <c r="J29" s="1084"/>
      <c r="K29" s="1084"/>
      <c r="L29" s="908"/>
      <c r="M29" s="908"/>
      <c r="N29" s="106"/>
      <c r="O29" s="107"/>
    </row>
    <row r="30" spans="1:15" s="85" customFormat="1" ht="12.75" customHeight="1">
      <c r="A30" s="916"/>
      <c r="B30" s="1087"/>
      <c r="C30" s="1096"/>
      <c r="D30" s="1092"/>
      <c r="E30" s="1092"/>
      <c r="F30" s="1094"/>
      <c r="G30" s="103"/>
      <c r="H30" s="1092"/>
      <c r="I30" s="1092"/>
      <c r="J30" s="1085"/>
      <c r="K30" s="1085"/>
      <c r="L30" s="908"/>
      <c r="M30" s="908"/>
      <c r="N30" s="106"/>
      <c r="O30" s="107"/>
    </row>
    <row r="31" spans="1:15" s="85" customFormat="1" ht="12.75" customHeight="1">
      <c r="A31" s="916"/>
      <c r="B31" s="1107">
        <v>7</v>
      </c>
      <c r="C31" s="1107"/>
      <c r="D31" s="1107"/>
      <c r="E31" s="1099" t="s">
        <v>20</v>
      </c>
      <c r="F31" s="1103" t="str">
        <f>VLOOKUP(E31,$N$13:$O$17,2,0)</f>
        <v>-</v>
      </c>
      <c r="G31" s="114"/>
      <c r="H31" s="1099"/>
      <c r="I31" s="1099"/>
      <c r="J31" s="1083"/>
      <c r="K31" s="1083"/>
      <c r="L31" s="908"/>
      <c r="M31" s="908"/>
      <c r="N31" s="106"/>
      <c r="O31" s="107"/>
    </row>
    <row r="32" spans="1:15" s="85" customFormat="1" ht="12.75" customHeight="1">
      <c r="A32" s="916"/>
      <c r="B32" s="1086"/>
      <c r="C32" s="1086"/>
      <c r="D32" s="1086"/>
      <c r="E32" s="1091"/>
      <c r="F32" s="1093"/>
      <c r="G32" s="98"/>
      <c r="H32" s="1091"/>
      <c r="I32" s="1091"/>
      <c r="J32" s="1084"/>
      <c r="K32" s="1084"/>
      <c r="L32" s="908"/>
      <c r="M32" s="908"/>
      <c r="N32" s="106"/>
      <c r="O32" s="107"/>
    </row>
    <row r="33" spans="1:15" s="85" customFormat="1" ht="12.75" customHeight="1">
      <c r="A33" s="916"/>
      <c r="B33" s="1108"/>
      <c r="C33" s="1108"/>
      <c r="D33" s="1108"/>
      <c r="E33" s="1100"/>
      <c r="F33" s="1101"/>
      <c r="G33" s="102"/>
      <c r="H33" s="1100"/>
      <c r="I33" s="1100"/>
      <c r="J33" s="1101"/>
      <c r="K33" s="1101"/>
      <c r="L33" s="908"/>
      <c r="M33" s="908"/>
      <c r="N33" s="106"/>
      <c r="O33" s="107"/>
    </row>
    <row r="34" spans="1:15" s="85" customFormat="1" ht="12.75" customHeight="1">
      <c r="A34" s="916"/>
      <c r="B34" s="1086">
        <v>8</v>
      </c>
      <c r="C34" s="1095"/>
      <c r="D34" s="1091"/>
      <c r="E34" s="1091" t="s">
        <v>20</v>
      </c>
      <c r="F34" s="1093" t="str">
        <f>VLOOKUP(E34,$N$13:$O$17,2,0)</f>
        <v>-</v>
      </c>
      <c r="G34" s="95"/>
      <c r="H34" s="1091"/>
      <c r="I34" s="1091"/>
      <c r="J34" s="1084"/>
      <c r="K34" s="1084"/>
      <c r="L34" s="908"/>
      <c r="M34" s="908"/>
      <c r="N34" s="106"/>
      <c r="O34" s="107"/>
    </row>
    <row r="35" spans="1:15" s="85" customFormat="1" ht="12.75" customHeight="1">
      <c r="A35" s="916"/>
      <c r="B35" s="1086"/>
      <c r="C35" s="1095"/>
      <c r="D35" s="1091"/>
      <c r="E35" s="1091"/>
      <c r="F35" s="1093"/>
      <c r="G35" s="98"/>
      <c r="H35" s="1091"/>
      <c r="I35" s="1091"/>
      <c r="J35" s="1084"/>
      <c r="K35" s="1084"/>
      <c r="L35" s="908"/>
      <c r="M35" s="908"/>
      <c r="N35" s="106"/>
      <c r="O35" s="107"/>
    </row>
    <row r="36" spans="1:15" s="85" customFormat="1" ht="12.75" customHeight="1">
      <c r="A36" s="916"/>
      <c r="B36" s="1087"/>
      <c r="C36" s="1096"/>
      <c r="D36" s="1092"/>
      <c r="E36" s="1092"/>
      <c r="F36" s="1094"/>
      <c r="G36" s="103"/>
      <c r="H36" s="1092"/>
      <c r="I36" s="1092"/>
      <c r="J36" s="1085"/>
      <c r="K36" s="1085"/>
      <c r="L36" s="908"/>
      <c r="M36" s="908"/>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908"/>
      <c r="N37" s="106"/>
      <c r="O37" s="107"/>
    </row>
    <row r="38" spans="1:15" s="85" customFormat="1" ht="12.75" customHeight="1">
      <c r="A38" s="916"/>
      <c r="B38" s="1086"/>
      <c r="C38" s="1095"/>
      <c r="D38" s="1091"/>
      <c r="E38" s="1091"/>
      <c r="F38" s="1093"/>
      <c r="G38" s="98"/>
      <c r="H38" s="1091"/>
      <c r="I38" s="1091"/>
      <c r="J38" s="1084"/>
      <c r="K38" s="1084"/>
      <c r="L38" s="908"/>
      <c r="M38" s="908"/>
      <c r="N38" s="106"/>
      <c r="O38" s="107"/>
    </row>
    <row r="39" spans="1:15" s="85" customFormat="1" ht="12.75" customHeight="1">
      <c r="A39" s="916"/>
      <c r="B39" s="1087"/>
      <c r="C39" s="1096"/>
      <c r="D39" s="1092"/>
      <c r="E39" s="1092"/>
      <c r="F39" s="1094"/>
      <c r="G39" s="103"/>
      <c r="H39" s="1092"/>
      <c r="I39" s="1092"/>
      <c r="J39" s="1085"/>
      <c r="K39" s="1085"/>
      <c r="L39" s="908"/>
      <c r="M39" s="908"/>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908"/>
      <c r="N40" s="106"/>
      <c r="O40" s="107"/>
    </row>
    <row r="41" spans="1:15" s="85" customFormat="1" ht="12.75" customHeight="1">
      <c r="A41" s="916"/>
      <c r="B41" s="1086"/>
      <c r="C41" s="1095"/>
      <c r="D41" s="1091"/>
      <c r="E41" s="1091"/>
      <c r="F41" s="1093"/>
      <c r="G41" s="98"/>
      <c r="H41" s="1091"/>
      <c r="I41" s="1091"/>
      <c r="J41" s="1084"/>
      <c r="K41" s="1084"/>
      <c r="L41" s="908"/>
      <c r="M41" s="908"/>
      <c r="N41" s="106"/>
      <c r="O41" s="107"/>
    </row>
    <row r="42" spans="1:15" s="85" customFormat="1" ht="12.75" customHeight="1" thickBot="1">
      <c r="A42" s="916"/>
      <c r="B42" s="1087"/>
      <c r="C42" s="1096"/>
      <c r="D42" s="1092"/>
      <c r="E42" s="1092"/>
      <c r="F42" s="1094"/>
      <c r="G42" s="103"/>
      <c r="H42" s="1092"/>
      <c r="I42" s="1092"/>
      <c r="J42" s="1085"/>
      <c r="K42" s="1085"/>
      <c r="L42" s="908"/>
      <c r="M42" s="908"/>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c r="M43" s="932"/>
    </row>
    <row r="44" spans="1:15" s="106" customFormat="1" ht="15.75" hidden="1" customHeight="1" outlineLevel="1">
      <c r="A44" s="932"/>
      <c r="B44" s="1086"/>
      <c r="C44" s="1095"/>
      <c r="D44" s="1091"/>
      <c r="E44" s="1091"/>
      <c r="F44" s="1093"/>
      <c r="G44" s="98"/>
      <c r="H44" s="1091"/>
      <c r="I44" s="1091"/>
      <c r="J44" s="1084"/>
      <c r="K44" s="1084"/>
      <c r="L44" s="932"/>
      <c r="M44" s="932"/>
    </row>
    <row r="45" spans="1:15" s="83" customFormat="1" ht="15.75" hidden="1" customHeight="1" outlineLevel="1">
      <c r="A45" s="926"/>
      <c r="B45" s="1087"/>
      <c r="C45" s="1096"/>
      <c r="D45" s="1092"/>
      <c r="E45" s="1092"/>
      <c r="F45" s="1094"/>
      <c r="G45" s="103"/>
      <c r="H45" s="1092"/>
      <c r="I45" s="1092"/>
      <c r="J45" s="1085"/>
      <c r="K45" s="1085"/>
      <c r="L45" s="926"/>
      <c r="M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c r="M46" s="926"/>
    </row>
    <row r="47" spans="1:15" s="106" customFormat="1" ht="15.75" hidden="1" customHeight="1" outlineLevel="1">
      <c r="A47" s="932"/>
      <c r="B47" s="1086"/>
      <c r="C47" s="1095"/>
      <c r="D47" s="1091"/>
      <c r="E47" s="1091"/>
      <c r="F47" s="1093"/>
      <c r="G47" s="98"/>
      <c r="H47" s="1091"/>
      <c r="I47" s="1091"/>
      <c r="J47" s="1084"/>
      <c r="K47" s="1084"/>
      <c r="L47" s="932"/>
      <c r="M47" s="932"/>
    </row>
    <row r="48" spans="1:15" s="106" customFormat="1" ht="15.75" hidden="1" customHeight="1" outlineLevel="1">
      <c r="A48" s="932"/>
      <c r="B48" s="1087"/>
      <c r="C48" s="1096"/>
      <c r="D48" s="1092"/>
      <c r="E48" s="1092"/>
      <c r="F48" s="1094"/>
      <c r="G48" s="103"/>
      <c r="H48" s="1092"/>
      <c r="I48" s="1092"/>
      <c r="J48" s="1085"/>
      <c r="K48" s="1085"/>
      <c r="L48" s="932"/>
      <c r="M48" s="932"/>
    </row>
    <row r="49" spans="1:13" s="106" customFormat="1" ht="15.75" hidden="1" customHeight="1" outlineLevel="1">
      <c r="A49" s="932"/>
      <c r="B49" s="1086">
        <v>13</v>
      </c>
      <c r="C49" s="1095"/>
      <c r="D49" s="1091"/>
      <c r="E49" s="1091" t="s">
        <v>20</v>
      </c>
      <c r="F49" s="1093" t="str">
        <f>VLOOKUP(E49,$N$13:$O$17,2,0)</f>
        <v>-</v>
      </c>
      <c r="G49" s="95"/>
      <c r="H49" s="1091"/>
      <c r="I49" s="1091"/>
      <c r="J49" s="1083"/>
      <c r="K49" s="1083"/>
      <c r="L49" s="932"/>
      <c r="M49" s="932"/>
    </row>
    <row r="50" spans="1:13" s="106" customFormat="1" ht="15.75" hidden="1" customHeight="1" outlineLevel="1">
      <c r="A50" s="932"/>
      <c r="B50" s="1086"/>
      <c r="C50" s="1095"/>
      <c r="D50" s="1091"/>
      <c r="E50" s="1091"/>
      <c r="F50" s="1093"/>
      <c r="G50" s="98"/>
      <c r="H50" s="1091"/>
      <c r="I50" s="1091"/>
      <c r="J50" s="1084"/>
      <c r="K50" s="1084"/>
      <c r="L50" s="932"/>
      <c r="M50" s="932"/>
    </row>
    <row r="51" spans="1:13" s="106" customFormat="1" ht="15.75" hidden="1" customHeight="1" outlineLevel="1">
      <c r="A51" s="932"/>
      <c r="B51" s="1087"/>
      <c r="C51" s="1096"/>
      <c r="D51" s="1092"/>
      <c r="E51" s="1092"/>
      <c r="F51" s="1094"/>
      <c r="G51" s="103"/>
      <c r="H51" s="1092"/>
      <c r="I51" s="1092"/>
      <c r="J51" s="1085"/>
      <c r="K51" s="1085"/>
      <c r="L51" s="932"/>
      <c r="M51" s="932"/>
    </row>
    <row r="52" spans="1:13" s="106" customFormat="1" ht="15.75" hidden="1" customHeight="1" outlineLevel="1">
      <c r="A52" s="932"/>
      <c r="B52" s="1086">
        <v>14</v>
      </c>
      <c r="C52" s="1095"/>
      <c r="D52" s="1091"/>
      <c r="E52" s="1091" t="s">
        <v>20</v>
      </c>
      <c r="F52" s="1093" t="str">
        <f>VLOOKUP(E52,$N$13:$O$17,2,0)</f>
        <v>-</v>
      </c>
      <c r="G52" s="95"/>
      <c r="H52" s="1091"/>
      <c r="I52" s="1091"/>
      <c r="J52" s="1083"/>
      <c r="K52" s="1083"/>
      <c r="L52" s="932"/>
      <c r="M52" s="932"/>
    </row>
    <row r="53" spans="1:13" s="106" customFormat="1" ht="15.75" hidden="1" customHeight="1" outlineLevel="1">
      <c r="A53" s="932"/>
      <c r="B53" s="1086"/>
      <c r="C53" s="1095"/>
      <c r="D53" s="1091"/>
      <c r="E53" s="1091"/>
      <c r="F53" s="1093"/>
      <c r="G53" s="98"/>
      <c r="H53" s="1091"/>
      <c r="I53" s="1091"/>
      <c r="J53" s="1084"/>
      <c r="K53" s="1084"/>
      <c r="L53" s="932"/>
      <c r="M53" s="932"/>
    </row>
    <row r="54" spans="1:13" s="106" customFormat="1" ht="15.75" hidden="1" customHeight="1" outlineLevel="1">
      <c r="A54" s="932"/>
      <c r="B54" s="1087"/>
      <c r="C54" s="1096"/>
      <c r="D54" s="1092"/>
      <c r="E54" s="1092"/>
      <c r="F54" s="1094"/>
      <c r="G54" s="103"/>
      <c r="H54" s="1092"/>
      <c r="I54" s="1092"/>
      <c r="J54" s="1085"/>
      <c r="K54" s="1085"/>
      <c r="L54" s="932"/>
      <c r="M54" s="932"/>
    </row>
    <row r="55" spans="1:13" s="106" customFormat="1" ht="15.75" hidden="1" customHeight="1" outlineLevel="1">
      <c r="A55" s="932"/>
      <c r="B55" s="1086">
        <v>15</v>
      </c>
      <c r="C55" s="1095"/>
      <c r="D55" s="1091"/>
      <c r="E55" s="1091" t="s">
        <v>20</v>
      </c>
      <c r="F55" s="1093" t="str">
        <f>VLOOKUP(E55,$N$13:$O$17,2,0)</f>
        <v>-</v>
      </c>
      <c r="G55" s="95"/>
      <c r="H55" s="1091"/>
      <c r="I55" s="1091"/>
      <c r="J55" s="1083"/>
      <c r="K55" s="1083"/>
      <c r="L55" s="932"/>
      <c r="M55" s="932"/>
    </row>
    <row r="56" spans="1:13" s="106" customFormat="1" ht="15.75" hidden="1" customHeight="1" outlineLevel="1">
      <c r="A56" s="932"/>
      <c r="B56" s="1086"/>
      <c r="C56" s="1095"/>
      <c r="D56" s="1091"/>
      <c r="E56" s="1091"/>
      <c r="F56" s="1093"/>
      <c r="G56" s="98"/>
      <c r="H56" s="1091"/>
      <c r="I56" s="1091"/>
      <c r="J56" s="1084"/>
      <c r="K56" s="1084"/>
      <c r="L56" s="932"/>
      <c r="M56" s="932"/>
    </row>
    <row r="57" spans="1:13" s="106" customFormat="1" ht="15.75" hidden="1" customHeight="1" outlineLevel="1">
      <c r="A57" s="932"/>
      <c r="B57" s="1087"/>
      <c r="C57" s="1096"/>
      <c r="D57" s="1092"/>
      <c r="E57" s="1092"/>
      <c r="F57" s="1094"/>
      <c r="G57" s="103"/>
      <c r="H57" s="1092"/>
      <c r="I57" s="1092"/>
      <c r="J57" s="1085"/>
      <c r="K57" s="1085"/>
      <c r="L57" s="932"/>
      <c r="M57" s="932"/>
    </row>
    <row r="58" spans="1:13" s="106" customFormat="1" ht="15.75" hidden="1" customHeight="1" outlineLevel="1">
      <c r="A58" s="932"/>
      <c r="B58" s="1086">
        <v>16</v>
      </c>
      <c r="C58" s="1095"/>
      <c r="D58" s="1091"/>
      <c r="E58" s="1091" t="s">
        <v>20</v>
      </c>
      <c r="F58" s="1093" t="e">
        <f>IF(F$25=0,0,F32/F$25)</f>
        <v>#VALUE!</v>
      </c>
      <c r="G58" s="95"/>
      <c r="H58" s="1091"/>
      <c r="I58" s="1091"/>
      <c r="J58" s="1083"/>
      <c r="K58" s="1083"/>
      <c r="L58" s="932"/>
      <c r="M58" s="932"/>
    </row>
    <row r="59" spans="1:13" s="106" customFormat="1" ht="15.75" hidden="1" customHeight="1" outlineLevel="1">
      <c r="A59" s="932"/>
      <c r="B59" s="1086"/>
      <c r="C59" s="1095"/>
      <c r="D59" s="1091"/>
      <c r="E59" s="1091"/>
      <c r="F59" s="1093"/>
      <c r="G59" s="98"/>
      <c r="H59" s="1091"/>
      <c r="I59" s="1091"/>
      <c r="J59" s="1084"/>
      <c r="K59" s="1084"/>
      <c r="L59" s="932"/>
      <c r="M59" s="932"/>
    </row>
    <row r="60" spans="1:13" s="106" customFormat="1" ht="15.75" hidden="1" customHeight="1" outlineLevel="1">
      <c r="A60" s="932"/>
      <c r="B60" s="1087"/>
      <c r="C60" s="1096"/>
      <c r="D60" s="1092"/>
      <c r="E60" s="1092"/>
      <c r="F60" s="1094"/>
      <c r="G60" s="103"/>
      <c r="H60" s="1092"/>
      <c r="I60" s="1092"/>
      <c r="J60" s="1085"/>
      <c r="K60" s="1085"/>
      <c r="L60" s="932"/>
      <c r="M60" s="932"/>
    </row>
    <row r="61" spans="1:13" s="106" customFormat="1" ht="15.75" hidden="1" customHeight="1" outlineLevel="1">
      <c r="A61" s="932"/>
      <c r="B61" s="1086">
        <v>17</v>
      </c>
      <c r="C61" s="1095"/>
      <c r="D61" s="1091"/>
      <c r="E61" s="1091" t="s">
        <v>20</v>
      </c>
      <c r="F61" s="1093" t="str">
        <f>VLOOKUP(E61,$N$13:$O$17,2,0)</f>
        <v>-</v>
      </c>
      <c r="G61" s="95"/>
      <c r="H61" s="1091"/>
      <c r="I61" s="1091"/>
      <c r="J61" s="1083"/>
      <c r="K61" s="1083"/>
      <c r="L61" s="932"/>
      <c r="M61" s="932"/>
    </row>
    <row r="62" spans="1:13" s="106" customFormat="1" ht="15.75" hidden="1" customHeight="1" outlineLevel="1">
      <c r="A62" s="932"/>
      <c r="B62" s="1086"/>
      <c r="C62" s="1095"/>
      <c r="D62" s="1091"/>
      <c r="E62" s="1091"/>
      <c r="F62" s="1093"/>
      <c r="G62" s="98"/>
      <c r="H62" s="1091"/>
      <c r="I62" s="1091"/>
      <c r="J62" s="1084"/>
      <c r="K62" s="1084"/>
      <c r="L62" s="932"/>
      <c r="M62" s="932"/>
    </row>
    <row r="63" spans="1:13" s="106" customFormat="1" ht="15.75" hidden="1" customHeight="1" outlineLevel="1">
      <c r="A63" s="932"/>
      <c r="B63" s="1087"/>
      <c r="C63" s="1096"/>
      <c r="D63" s="1092"/>
      <c r="E63" s="1092"/>
      <c r="F63" s="1094"/>
      <c r="G63" s="103"/>
      <c r="H63" s="1092"/>
      <c r="I63" s="1092"/>
      <c r="J63" s="1085"/>
      <c r="K63" s="1085"/>
      <c r="L63" s="932"/>
      <c r="M63" s="932"/>
    </row>
    <row r="64" spans="1:13" s="106" customFormat="1" ht="15.75" hidden="1" customHeight="1" outlineLevel="1">
      <c r="A64" s="932"/>
      <c r="B64" s="1086">
        <v>18</v>
      </c>
      <c r="C64" s="1095"/>
      <c r="D64" s="1091"/>
      <c r="E64" s="1091" t="s">
        <v>20</v>
      </c>
      <c r="F64" s="1093" t="str">
        <f>VLOOKUP(E64,$N$13:$O$17,2,0)</f>
        <v>-</v>
      </c>
      <c r="G64" s="95"/>
      <c r="H64" s="1091"/>
      <c r="I64" s="1091"/>
      <c r="J64" s="1083"/>
      <c r="K64" s="1083"/>
      <c r="L64" s="932"/>
      <c r="M64" s="932"/>
    </row>
    <row r="65" spans="1:13" s="106" customFormat="1" ht="15.75" hidden="1" customHeight="1" outlineLevel="1">
      <c r="A65" s="932"/>
      <c r="B65" s="1086"/>
      <c r="C65" s="1095"/>
      <c r="D65" s="1091"/>
      <c r="E65" s="1091"/>
      <c r="F65" s="1093"/>
      <c r="G65" s="98"/>
      <c r="H65" s="1091"/>
      <c r="I65" s="1091"/>
      <c r="J65" s="1084"/>
      <c r="K65" s="1084"/>
      <c r="L65" s="932"/>
      <c r="M65" s="932"/>
    </row>
    <row r="66" spans="1:13" s="106" customFormat="1" ht="15.75" hidden="1" customHeight="1" outlineLevel="1">
      <c r="A66" s="932"/>
      <c r="B66" s="1087"/>
      <c r="C66" s="1096"/>
      <c r="D66" s="1092"/>
      <c r="E66" s="1092"/>
      <c r="F66" s="1094"/>
      <c r="G66" s="103"/>
      <c r="H66" s="1092"/>
      <c r="I66" s="1092"/>
      <c r="J66" s="1085"/>
      <c r="K66" s="1085"/>
      <c r="L66" s="932"/>
      <c r="M66" s="932"/>
    </row>
    <row r="67" spans="1:13" s="106" customFormat="1" ht="15.75" hidden="1" customHeight="1" outlineLevel="1">
      <c r="A67" s="932"/>
      <c r="B67" s="1086">
        <v>19</v>
      </c>
      <c r="C67" s="1095"/>
      <c r="D67" s="1091"/>
      <c r="E67" s="1091" t="s">
        <v>20</v>
      </c>
      <c r="F67" s="1093" t="str">
        <f>VLOOKUP(E67,$N$13:$O$17,2,0)</f>
        <v>-</v>
      </c>
      <c r="G67" s="95"/>
      <c r="H67" s="1091"/>
      <c r="I67" s="1091"/>
      <c r="J67" s="1083"/>
      <c r="K67" s="1083"/>
      <c r="L67" s="932"/>
      <c r="M67" s="932"/>
    </row>
    <row r="68" spans="1:13" s="106" customFormat="1" ht="15.75" hidden="1" customHeight="1" outlineLevel="1">
      <c r="A68" s="932"/>
      <c r="B68" s="1086"/>
      <c r="C68" s="1095"/>
      <c r="D68" s="1091"/>
      <c r="E68" s="1091"/>
      <c r="F68" s="1093"/>
      <c r="G68" s="98"/>
      <c r="H68" s="1091"/>
      <c r="I68" s="1091"/>
      <c r="J68" s="1084"/>
      <c r="K68" s="1084"/>
      <c r="L68" s="932"/>
      <c r="M68" s="932"/>
    </row>
    <row r="69" spans="1:13" s="106" customFormat="1" ht="15.75" hidden="1" customHeight="1" outlineLevel="1">
      <c r="A69" s="932"/>
      <c r="B69" s="1087"/>
      <c r="C69" s="1096"/>
      <c r="D69" s="1092"/>
      <c r="E69" s="1092"/>
      <c r="F69" s="1094"/>
      <c r="G69" s="103"/>
      <c r="H69" s="1092"/>
      <c r="I69" s="1092"/>
      <c r="J69" s="1085"/>
      <c r="K69" s="1085"/>
      <c r="L69" s="932"/>
      <c r="M69" s="932"/>
    </row>
    <row r="70" spans="1:13" s="106" customFormat="1" ht="15.75" hidden="1" customHeight="1" outlineLevel="1">
      <c r="A70" s="932"/>
      <c r="B70" s="1086">
        <v>20</v>
      </c>
      <c r="C70" s="1095"/>
      <c r="D70" s="1091"/>
      <c r="E70" s="1091" t="s">
        <v>20</v>
      </c>
      <c r="F70" s="1093" t="str">
        <f>VLOOKUP(E70,$N$13:$O$17,2,0)</f>
        <v>-</v>
      </c>
      <c r="G70" s="95"/>
      <c r="H70" s="1091"/>
      <c r="I70" s="1091"/>
      <c r="J70" s="1083"/>
      <c r="K70" s="1083"/>
      <c r="L70" s="932"/>
      <c r="M70" s="932"/>
    </row>
    <row r="71" spans="1:13" s="106" customFormat="1" ht="15.75" hidden="1" customHeight="1" outlineLevel="1">
      <c r="A71" s="932"/>
      <c r="B71" s="1086"/>
      <c r="C71" s="1095"/>
      <c r="D71" s="1091"/>
      <c r="E71" s="1091"/>
      <c r="F71" s="1093"/>
      <c r="G71" s="98"/>
      <c r="H71" s="1091"/>
      <c r="I71" s="1091"/>
      <c r="J71" s="1084"/>
      <c r="K71" s="1084"/>
      <c r="L71" s="932"/>
      <c r="M71" s="932"/>
    </row>
    <row r="72" spans="1:13" s="106" customFormat="1" ht="15.75" hidden="1" customHeight="1" outlineLevel="1">
      <c r="A72" s="932"/>
      <c r="B72" s="1087"/>
      <c r="C72" s="1096"/>
      <c r="D72" s="1092"/>
      <c r="E72" s="1092"/>
      <c r="F72" s="1094"/>
      <c r="G72" s="103"/>
      <c r="H72" s="1092"/>
      <c r="I72" s="1092"/>
      <c r="J72" s="1085"/>
      <c r="K72" s="1085"/>
      <c r="L72" s="932"/>
      <c r="M72" s="932"/>
    </row>
    <row r="73" spans="1:13" s="106" customFormat="1" ht="15.75" hidden="1" customHeight="1" outlineLevel="1">
      <c r="A73" s="932"/>
      <c r="B73" s="1086">
        <v>21</v>
      </c>
      <c r="C73" s="1095"/>
      <c r="D73" s="1091"/>
      <c r="E73" s="1091" t="s">
        <v>20</v>
      </c>
      <c r="F73" s="1093" t="str">
        <f>VLOOKUP(E73,$N$13:$O$17,2,0)</f>
        <v>-</v>
      </c>
      <c r="G73" s="95"/>
      <c r="H73" s="1091"/>
      <c r="I73" s="1091"/>
      <c r="J73" s="1083"/>
      <c r="K73" s="1083"/>
      <c r="L73" s="932"/>
      <c r="M73" s="932"/>
    </row>
    <row r="74" spans="1:13" s="106" customFormat="1" ht="15.75" hidden="1" customHeight="1" outlineLevel="1">
      <c r="A74" s="932"/>
      <c r="B74" s="1086"/>
      <c r="C74" s="1095"/>
      <c r="D74" s="1091"/>
      <c r="E74" s="1091"/>
      <c r="F74" s="1093"/>
      <c r="G74" s="98"/>
      <c r="H74" s="1091"/>
      <c r="I74" s="1091"/>
      <c r="J74" s="1084"/>
      <c r="K74" s="1084"/>
      <c r="L74" s="932"/>
      <c r="M74" s="932"/>
    </row>
    <row r="75" spans="1:13" s="106" customFormat="1" ht="15.75" hidden="1" customHeight="1" outlineLevel="1">
      <c r="A75" s="932"/>
      <c r="B75" s="1087"/>
      <c r="C75" s="1096"/>
      <c r="D75" s="1092"/>
      <c r="E75" s="1092"/>
      <c r="F75" s="1094"/>
      <c r="G75" s="103"/>
      <c r="H75" s="1092"/>
      <c r="I75" s="1092"/>
      <c r="J75" s="1085"/>
      <c r="K75" s="1085"/>
      <c r="L75" s="932"/>
      <c r="M75" s="932"/>
    </row>
    <row r="76" spans="1:13" s="106" customFormat="1" ht="15.75" hidden="1" customHeight="1" outlineLevel="1">
      <c r="A76" s="932"/>
      <c r="B76" s="1086">
        <v>22</v>
      </c>
      <c r="C76" s="1095"/>
      <c r="D76" s="1091"/>
      <c r="E76" s="1091" t="s">
        <v>20</v>
      </c>
      <c r="F76" s="1093" t="str">
        <f>VLOOKUP(E76,$N$13:$O$17,2,0)</f>
        <v>-</v>
      </c>
      <c r="G76" s="95"/>
      <c r="H76" s="1091"/>
      <c r="I76" s="1091"/>
      <c r="J76" s="1083"/>
      <c r="K76" s="1083"/>
      <c r="L76" s="932"/>
      <c r="M76" s="932"/>
    </row>
    <row r="77" spans="1:13" s="106" customFormat="1" ht="15.75" hidden="1" customHeight="1" outlineLevel="1">
      <c r="A77" s="932"/>
      <c r="B77" s="1086"/>
      <c r="C77" s="1095"/>
      <c r="D77" s="1091"/>
      <c r="E77" s="1091"/>
      <c r="F77" s="1093"/>
      <c r="G77" s="98"/>
      <c r="H77" s="1091"/>
      <c r="I77" s="1091"/>
      <c r="J77" s="1084"/>
      <c r="K77" s="1084"/>
      <c r="L77" s="932"/>
      <c r="M77" s="932"/>
    </row>
    <row r="78" spans="1:13" s="106" customFormat="1" ht="15.75" hidden="1" customHeight="1" outlineLevel="1">
      <c r="A78" s="932"/>
      <c r="B78" s="1087"/>
      <c r="C78" s="1096"/>
      <c r="D78" s="1092"/>
      <c r="E78" s="1092"/>
      <c r="F78" s="1094"/>
      <c r="G78" s="103"/>
      <c r="H78" s="1092"/>
      <c r="I78" s="1092"/>
      <c r="J78" s="1085"/>
      <c r="K78" s="1085"/>
      <c r="L78" s="932"/>
      <c r="M78" s="932"/>
    </row>
    <row r="79" spans="1:13" s="106" customFormat="1" ht="15.75" hidden="1" customHeight="1" outlineLevel="1">
      <c r="A79" s="932"/>
      <c r="B79" s="1086">
        <v>23</v>
      </c>
      <c r="C79" s="1095"/>
      <c r="D79" s="1091"/>
      <c r="E79" s="1091" t="s">
        <v>20</v>
      </c>
      <c r="F79" s="1093" t="str">
        <f>VLOOKUP(E79,$N$13:$O$17,2,0)</f>
        <v>-</v>
      </c>
      <c r="G79" s="95"/>
      <c r="H79" s="1091"/>
      <c r="I79" s="1091"/>
      <c r="J79" s="1083"/>
      <c r="K79" s="1083"/>
      <c r="L79" s="932"/>
      <c r="M79" s="932"/>
    </row>
    <row r="80" spans="1:13" s="106" customFormat="1" ht="15.75" hidden="1" customHeight="1" outlineLevel="1">
      <c r="A80" s="932"/>
      <c r="B80" s="1086"/>
      <c r="C80" s="1095"/>
      <c r="D80" s="1091"/>
      <c r="E80" s="1091"/>
      <c r="F80" s="1093"/>
      <c r="G80" s="98"/>
      <c r="H80" s="1091"/>
      <c r="I80" s="1091"/>
      <c r="J80" s="1084"/>
      <c r="K80" s="1084"/>
      <c r="L80" s="932"/>
      <c r="M80" s="932"/>
    </row>
    <row r="81" spans="1:13" s="106" customFormat="1" ht="15.75" hidden="1" customHeight="1" outlineLevel="1">
      <c r="A81" s="932"/>
      <c r="B81" s="1087"/>
      <c r="C81" s="1096"/>
      <c r="D81" s="1092"/>
      <c r="E81" s="1092"/>
      <c r="F81" s="1094"/>
      <c r="G81" s="103"/>
      <c r="H81" s="1092"/>
      <c r="I81" s="1092"/>
      <c r="J81" s="1085"/>
      <c r="K81" s="1085"/>
      <c r="L81" s="932"/>
      <c r="M81" s="932"/>
    </row>
    <row r="82" spans="1:13" s="106" customFormat="1" ht="15.75" hidden="1" customHeight="1" outlineLevel="1">
      <c r="A82" s="932"/>
      <c r="B82" s="1086">
        <v>24</v>
      </c>
      <c r="C82" s="1095"/>
      <c r="D82" s="1091"/>
      <c r="E82" s="1091" t="s">
        <v>20</v>
      </c>
      <c r="F82" s="1093" t="str">
        <f>VLOOKUP(E82,$N$13:$O$17,2,0)</f>
        <v>-</v>
      </c>
      <c r="G82" s="95"/>
      <c r="H82" s="1091"/>
      <c r="I82" s="1091"/>
      <c r="J82" s="1083"/>
      <c r="K82" s="1083"/>
      <c r="L82" s="932"/>
      <c r="M82" s="932"/>
    </row>
    <row r="83" spans="1:13" s="106" customFormat="1" ht="15.75" hidden="1" customHeight="1" outlineLevel="1">
      <c r="A83" s="932"/>
      <c r="B83" s="1086"/>
      <c r="C83" s="1095"/>
      <c r="D83" s="1091"/>
      <c r="E83" s="1091"/>
      <c r="F83" s="1093"/>
      <c r="G83" s="98"/>
      <c r="H83" s="1091"/>
      <c r="I83" s="1091"/>
      <c r="J83" s="1084"/>
      <c r="K83" s="1084"/>
      <c r="L83" s="932"/>
      <c r="M83" s="932"/>
    </row>
    <row r="84" spans="1:13" s="106" customFormat="1" ht="15.75" hidden="1" customHeight="1" outlineLevel="1">
      <c r="A84" s="932"/>
      <c r="B84" s="1087"/>
      <c r="C84" s="1096"/>
      <c r="D84" s="1092"/>
      <c r="E84" s="1092"/>
      <c r="F84" s="1094"/>
      <c r="G84" s="103"/>
      <c r="H84" s="1092"/>
      <c r="I84" s="1092"/>
      <c r="J84" s="1085"/>
      <c r="K84" s="1085"/>
      <c r="L84" s="932"/>
      <c r="M84" s="932"/>
    </row>
    <row r="85" spans="1:13" s="106" customFormat="1" ht="15.75" hidden="1" customHeight="1" outlineLevel="1">
      <c r="A85" s="932"/>
      <c r="B85" s="1086">
        <v>25</v>
      </c>
      <c r="C85" s="1095"/>
      <c r="D85" s="1091"/>
      <c r="E85" s="1091" t="s">
        <v>20</v>
      </c>
      <c r="F85" s="1093" t="str">
        <f>VLOOKUP(E85,$N$13:$O$17,2,0)</f>
        <v>-</v>
      </c>
      <c r="G85" s="95"/>
      <c r="H85" s="1091"/>
      <c r="I85" s="1091"/>
      <c r="J85" s="1083"/>
      <c r="K85" s="1083"/>
      <c r="L85" s="932"/>
      <c r="M85" s="932"/>
    </row>
    <row r="86" spans="1:13" s="106" customFormat="1" ht="15.75" hidden="1" customHeight="1" outlineLevel="1">
      <c r="A86" s="932"/>
      <c r="B86" s="1086"/>
      <c r="C86" s="1095"/>
      <c r="D86" s="1091"/>
      <c r="E86" s="1091"/>
      <c r="F86" s="1093"/>
      <c r="G86" s="98"/>
      <c r="H86" s="1091"/>
      <c r="I86" s="1091"/>
      <c r="J86" s="1084"/>
      <c r="K86" s="1084"/>
      <c r="L86" s="932"/>
      <c r="M86" s="932"/>
    </row>
    <row r="87" spans="1:13" s="106" customFormat="1" ht="15.75" hidden="1" customHeight="1" outlineLevel="1">
      <c r="A87" s="932"/>
      <c r="B87" s="1087"/>
      <c r="C87" s="1096"/>
      <c r="D87" s="1092"/>
      <c r="E87" s="1092"/>
      <c r="F87" s="1094"/>
      <c r="G87" s="103"/>
      <c r="H87" s="1092"/>
      <c r="I87" s="1092"/>
      <c r="J87" s="1085"/>
      <c r="K87" s="1085"/>
      <c r="L87" s="932"/>
      <c r="M87" s="932"/>
    </row>
    <row r="88" spans="1:13" s="106" customFormat="1" ht="15.75" hidden="1" customHeight="1" outlineLevel="1">
      <c r="A88" s="932"/>
      <c r="B88" s="1086">
        <v>26</v>
      </c>
      <c r="C88" s="1095"/>
      <c r="D88" s="1091"/>
      <c r="E88" s="1091" t="s">
        <v>20</v>
      </c>
      <c r="F88" s="1093" t="str">
        <f>VLOOKUP(E88,$N$13:$O$17,2,0)</f>
        <v>-</v>
      </c>
      <c r="G88" s="95"/>
      <c r="H88" s="1091"/>
      <c r="I88" s="1091"/>
      <c r="J88" s="1083"/>
      <c r="K88" s="1083"/>
      <c r="L88" s="932"/>
      <c r="M88" s="932"/>
    </row>
    <row r="89" spans="1:13" s="106" customFormat="1" ht="15.75" hidden="1" customHeight="1" outlineLevel="1">
      <c r="A89" s="932"/>
      <c r="B89" s="1086"/>
      <c r="C89" s="1095"/>
      <c r="D89" s="1091"/>
      <c r="E89" s="1091"/>
      <c r="F89" s="1093"/>
      <c r="G89" s="98"/>
      <c r="H89" s="1091"/>
      <c r="I89" s="1091"/>
      <c r="J89" s="1084"/>
      <c r="K89" s="1084"/>
      <c r="L89" s="932"/>
      <c r="M89" s="932"/>
    </row>
    <row r="90" spans="1:13" s="106" customFormat="1" ht="15.75" hidden="1" customHeight="1" outlineLevel="1">
      <c r="A90" s="932"/>
      <c r="B90" s="1087"/>
      <c r="C90" s="1096"/>
      <c r="D90" s="1092"/>
      <c r="E90" s="1092"/>
      <c r="F90" s="1094"/>
      <c r="G90" s="103"/>
      <c r="H90" s="1092"/>
      <c r="I90" s="1092"/>
      <c r="J90" s="1085"/>
      <c r="K90" s="1085"/>
      <c r="L90" s="932"/>
      <c r="M90" s="932"/>
    </row>
    <row r="91" spans="1:13" s="106" customFormat="1" ht="15.75" hidden="1" customHeight="1" outlineLevel="1">
      <c r="A91" s="932"/>
      <c r="B91" s="1086">
        <v>27</v>
      </c>
      <c r="C91" s="1095"/>
      <c r="D91" s="1091"/>
      <c r="E91" s="1091" t="s">
        <v>20</v>
      </c>
      <c r="F91" s="1093" t="str">
        <f>VLOOKUP(E91,$N$13:$O$17,2,0)</f>
        <v>-</v>
      </c>
      <c r="G91" s="95"/>
      <c r="H91" s="1091"/>
      <c r="I91" s="1091"/>
      <c r="J91" s="1083"/>
      <c r="K91" s="1083"/>
      <c r="L91" s="932"/>
      <c r="M91" s="932"/>
    </row>
    <row r="92" spans="1:13" s="106" customFormat="1" ht="15.75" hidden="1" customHeight="1" outlineLevel="1">
      <c r="A92" s="932"/>
      <c r="B92" s="1086"/>
      <c r="C92" s="1095"/>
      <c r="D92" s="1091"/>
      <c r="E92" s="1091"/>
      <c r="F92" s="1093"/>
      <c r="G92" s="98"/>
      <c r="H92" s="1091"/>
      <c r="I92" s="1091"/>
      <c r="J92" s="1084"/>
      <c r="K92" s="1084"/>
      <c r="L92" s="932"/>
      <c r="M92" s="932"/>
    </row>
    <row r="93" spans="1:13" s="106" customFormat="1" ht="15.75" hidden="1" customHeight="1" outlineLevel="1">
      <c r="A93" s="932"/>
      <c r="B93" s="1087"/>
      <c r="C93" s="1096"/>
      <c r="D93" s="1092"/>
      <c r="E93" s="1092"/>
      <c r="F93" s="1094"/>
      <c r="G93" s="103"/>
      <c r="H93" s="1092"/>
      <c r="I93" s="1092"/>
      <c r="J93" s="1085"/>
      <c r="K93" s="1085"/>
      <c r="L93" s="932"/>
      <c r="M93" s="932"/>
    </row>
    <row r="94" spans="1:13" s="106" customFormat="1" ht="15.75" hidden="1" customHeight="1" outlineLevel="1">
      <c r="A94" s="932"/>
      <c r="B94" s="1086">
        <v>28</v>
      </c>
      <c r="C94" s="1095"/>
      <c r="D94" s="1091"/>
      <c r="E94" s="1091" t="s">
        <v>20</v>
      </c>
      <c r="F94" s="1093" t="str">
        <f>VLOOKUP(E94,$N$13:$O$17,2,0)</f>
        <v>-</v>
      </c>
      <c r="G94" s="95"/>
      <c r="H94" s="1091"/>
      <c r="I94" s="1091"/>
      <c r="J94" s="1083"/>
      <c r="K94" s="1083"/>
      <c r="L94" s="932"/>
      <c r="M94" s="932"/>
    </row>
    <row r="95" spans="1:13" s="106" customFormat="1" ht="15.75" hidden="1" customHeight="1" outlineLevel="1">
      <c r="A95" s="932"/>
      <c r="B95" s="1086"/>
      <c r="C95" s="1095"/>
      <c r="D95" s="1091"/>
      <c r="E95" s="1091"/>
      <c r="F95" s="1093"/>
      <c r="G95" s="98"/>
      <c r="H95" s="1091"/>
      <c r="I95" s="1091"/>
      <c r="J95" s="1084"/>
      <c r="K95" s="1084"/>
      <c r="L95" s="932"/>
      <c r="M95" s="932"/>
    </row>
    <row r="96" spans="1:13" s="106" customFormat="1" ht="15.75" hidden="1" customHeight="1" outlineLevel="1">
      <c r="A96" s="932"/>
      <c r="B96" s="1087"/>
      <c r="C96" s="1096"/>
      <c r="D96" s="1092"/>
      <c r="E96" s="1092"/>
      <c r="F96" s="1094"/>
      <c r="G96" s="103"/>
      <c r="H96" s="1092"/>
      <c r="I96" s="1092"/>
      <c r="J96" s="1085"/>
      <c r="K96" s="1085"/>
      <c r="L96" s="932"/>
      <c r="M96" s="932"/>
    </row>
    <row r="97" spans="1:13" s="106" customFormat="1" ht="15.75" hidden="1" customHeight="1" outlineLevel="1">
      <c r="A97" s="932"/>
      <c r="B97" s="1086">
        <v>29</v>
      </c>
      <c r="C97" s="1095"/>
      <c r="D97" s="1091"/>
      <c r="E97" s="1091" t="s">
        <v>20</v>
      </c>
      <c r="F97" s="1093" t="str">
        <f>VLOOKUP(E97,$N$13:$O$17,2,0)</f>
        <v>-</v>
      </c>
      <c r="G97" s="95"/>
      <c r="H97" s="1091"/>
      <c r="I97" s="1091"/>
      <c r="J97" s="1083"/>
      <c r="K97" s="1083"/>
      <c r="L97" s="932"/>
      <c r="M97" s="932"/>
    </row>
    <row r="98" spans="1:13" s="106" customFormat="1" ht="15.75" hidden="1" customHeight="1" outlineLevel="1">
      <c r="A98" s="932"/>
      <c r="B98" s="1086"/>
      <c r="C98" s="1095"/>
      <c r="D98" s="1091"/>
      <c r="E98" s="1091"/>
      <c r="F98" s="1093"/>
      <c r="G98" s="98"/>
      <c r="H98" s="1091"/>
      <c r="I98" s="1091"/>
      <c r="J98" s="1084"/>
      <c r="K98" s="1084"/>
      <c r="L98" s="932"/>
      <c r="M98" s="932"/>
    </row>
    <row r="99" spans="1:13" s="106" customFormat="1" ht="15.75" hidden="1" customHeight="1" outlineLevel="1">
      <c r="A99" s="932"/>
      <c r="B99" s="1087"/>
      <c r="C99" s="1096"/>
      <c r="D99" s="1092"/>
      <c r="E99" s="1092"/>
      <c r="F99" s="1094"/>
      <c r="G99" s="103"/>
      <c r="H99" s="1092"/>
      <c r="I99" s="1092"/>
      <c r="J99" s="1085"/>
      <c r="K99" s="1085"/>
      <c r="L99" s="932"/>
      <c r="M99" s="932"/>
    </row>
    <row r="100" spans="1:13" s="106" customFormat="1" ht="15.75" hidden="1" customHeight="1" outlineLevel="1">
      <c r="A100" s="932"/>
      <c r="B100" s="1086">
        <v>30</v>
      </c>
      <c r="C100" s="1095"/>
      <c r="D100" s="1091"/>
      <c r="E100" s="1091" t="s">
        <v>20</v>
      </c>
      <c r="F100" s="1093" t="str">
        <f>VLOOKUP(E100,$N$13:$O$17,2,0)</f>
        <v>-</v>
      </c>
      <c r="G100" s="95"/>
      <c r="H100" s="1091"/>
      <c r="I100" s="1091"/>
      <c r="J100" s="1083"/>
      <c r="K100" s="1083"/>
      <c r="L100" s="932"/>
      <c r="M100" s="932"/>
    </row>
    <row r="101" spans="1:13" s="106" customFormat="1" ht="15.75" hidden="1" customHeight="1" outlineLevel="1">
      <c r="A101" s="932"/>
      <c r="B101" s="1086"/>
      <c r="C101" s="1095"/>
      <c r="D101" s="1091"/>
      <c r="E101" s="1091"/>
      <c r="F101" s="1093"/>
      <c r="G101" s="98"/>
      <c r="H101" s="1091"/>
      <c r="I101" s="1091"/>
      <c r="J101" s="1084"/>
      <c r="K101" s="1084"/>
      <c r="L101" s="932"/>
      <c r="M101" s="932"/>
    </row>
    <row r="102" spans="1:13" s="106" customFormat="1" ht="15.75" hidden="1" customHeight="1" outlineLevel="1">
      <c r="A102" s="932"/>
      <c r="B102" s="1087"/>
      <c r="C102" s="1096"/>
      <c r="D102" s="1092"/>
      <c r="E102" s="1092"/>
      <c r="F102" s="1094"/>
      <c r="G102" s="103"/>
      <c r="H102" s="1092"/>
      <c r="I102" s="1092"/>
      <c r="J102" s="1085"/>
      <c r="K102" s="1085"/>
      <c r="L102" s="932"/>
      <c r="M102" s="932"/>
    </row>
    <row r="103" spans="1:13" s="106" customFormat="1" ht="15.75" hidden="1" customHeight="1" outlineLevel="1">
      <c r="A103" s="932"/>
      <c r="B103" s="1086">
        <v>31</v>
      </c>
      <c r="C103" s="1095"/>
      <c r="D103" s="1091"/>
      <c r="E103" s="1091" t="s">
        <v>20</v>
      </c>
      <c r="F103" s="1093" t="str">
        <f>VLOOKUP(E103,$N$13:$O$17,2,0)</f>
        <v>-</v>
      </c>
      <c r="G103" s="95"/>
      <c r="H103" s="1091"/>
      <c r="I103" s="1091"/>
      <c r="J103" s="1083"/>
      <c r="K103" s="1083"/>
      <c r="L103" s="932"/>
      <c r="M103" s="932"/>
    </row>
    <row r="104" spans="1:13" s="106" customFormat="1" ht="15.75" hidden="1" customHeight="1" outlineLevel="1">
      <c r="A104" s="932"/>
      <c r="B104" s="1086"/>
      <c r="C104" s="1095"/>
      <c r="D104" s="1091"/>
      <c r="E104" s="1091"/>
      <c r="F104" s="1093"/>
      <c r="G104" s="98"/>
      <c r="H104" s="1091"/>
      <c r="I104" s="1091"/>
      <c r="J104" s="1084"/>
      <c r="K104" s="1084"/>
      <c r="L104" s="932"/>
      <c r="M104" s="932"/>
    </row>
    <row r="105" spans="1:13" s="106" customFormat="1" ht="15.75" hidden="1" customHeight="1" outlineLevel="1">
      <c r="A105" s="932"/>
      <c r="B105" s="1087"/>
      <c r="C105" s="1096"/>
      <c r="D105" s="1092"/>
      <c r="E105" s="1092"/>
      <c r="F105" s="1094"/>
      <c r="G105" s="103"/>
      <c r="H105" s="1092"/>
      <c r="I105" s="1092"/>
      <c r="J105" s="1085"/>
      <c r="K105" s="1085"/>
      <c r="L105" s="932"/>
      <c r="M105" s="932"/>
    </row>
    <row r="106" spans="1:13" s="106" customFormat="1" ht="15.75" hidden="1" customHeight="1" outlineLevel="1">
      <c r="A106" s="932"/>
      <c r="B106" s="1086">
        <v>32</v>
      </c>
      <c r="C106" s="1095"/>
      <c r="D106" s="1091"/>
      <c r="E106" s="1091" t="s">
        <v>20</v>
      </c>
      <c r="F106" s="1093" t="str">
        <f>VLOOKUP(E106,$N$13:$O$17,2,0)</f>
        <v>-</v>
      </c>
      <c r="G106" s="95"/>
      <c r="H106" s="1091"/>
      <c r="I106" s="1091"/>
      <c r="J106" s="1083"/>
      <c r="K106" s="1083"/>
      <c r="L106" s="932"/>
      <c r="M106" s="932"/>
    </row>
    <row r="107" spans="1:13" s="106" customFormat="1" ht="15.75" hidden="1" customHeight="1" outlineLevel="1">
      <c r="A107" s="932"/>
      <c r="B107" s="1086"/>
      <c r="C107" s="1095"/>
      <c r="D107" s="1091"/>
      <c r="E107" s="1091"/>
      <c r="F107" s="1093"/>
      <c r="G107" s="98"/>
      <c r="H107" s="1091"/>
      <c r="I107" s="1091"/>
      <c r="J107" s="1084"/>
      <c r="K107" s="1084"/>
      <c r="L107" s="932"/>
      <c r="M107" s="932"/>
    </row>
    <row r="108" spans="1:13" s="106" customFormat="1" ht="15.75" hidden="1" customHeight="1" outlineLevel="1">
      <c r="A108" s="932"/>
      <c r="B108" s="1087"/>
      <c r="C108" s="1096"/>
      <c r="D108" s="1092"/>
      <c r="E108" s="1092"/>
      <c r="F108" s="1094"/>
      <c r="G108" s="103"/>
      <c r="H108" s="1092"/>
      <c r="I108" s="1092"/>
      <c r="J108" s="1085"/>
      <c r="K108" s="1085"/>
      <c r="L108" s="932"/>
      <c r="M108" s="932"/>
    </row>
    <row r="109" spans="1:13" s="106" customFormat="1" ht="15.75" hidden="1" customHeight="1" outlineLevel="1">
      <c r="A109" s="932"/>
      <c r="B109" s="1086">
        <v>33</v>
      </c>
      <c r="C109" s="1095"/>
      <c r="D109" s="1091"/>
      <c r="E109" s="1091" t="s">
        <v>20</v>
      </c>
      <c r="F109" s="1093" t="str">
        <f>VLOOKUP(E109,$N$13:$O$17,2,0)</f>
        <v>-</v>
      </c>
      <c r="G109" s="95"/>
      <c r="H109" s="1091"/>
      <c r="I109" s="1091"/>
      <c r="J109" s="1083"/>
      <c r="K109" s="1083"/>
      <c r="L109" s="932"/>
      <c r="M109" s="932"/>
    </row>
    <row r="110" spans="1:13" s="106" customFormat="1" ht="15.75" hidden="1" customHeight="1" outlineLevel="1">
      <c r="A110" s="932"/>
      <c r="B110" s="1086"/>
      <c r="C110" s="1095"/>
      <c r="D110" s="1091"/>
      <c r="E110" s="1091"/>
      <c r="F110" s="1093"/>
      <c r="G110" s="98"/>
      <c r="H110" s="1091"/>
      <c r="I110" s="1091"/>
      <c r="J110" s="1084"/>
      <c r="K110" s="1084"/>
      <c r="L110" s="932"/>
      <c r="M110" s="932"/>
    </row>
    <row r="111" spans="1:13" s="106" customFormat="1" ht="15.75" hidden="1" customHeight="1" outlineLevel="1">
      <c r="A111" s="932"/>
      <c r="B111" s="1087"/>
      <c r="C111" s="1096"/>
      <c r="D111" s="1092"/>
      <c r="E111" s="1092"/>
      <c r="F111" s="1094"/>
      <c r="G111" s="103"/>
      <c r="H111" s="1092"/>
      <c r="I111" s="1092"/>
      <c r="J111" s="1085"/>
      <c r="K111" s="1085"/>
      <c r="L111" s="932"/>
      <c r="M111" s="932"/>
    </row>
    <row r="112" spans="1:13" s="106" customFormat="1" ht="15.75" hidden="1" customHeight="1" outlineLevel="1">
      <c r="A112" s="932"/>
      <c r="B112" s="1086">
        <v>34</v>
      </c>
      <c r="C112" s="1095"/>
      <c r="D112" s="1091"/>
      <c r="E112" s="1091" t="s">
        <v>20</v>
      </c>
      <c r="F112" s="1093" t="str">
        <f>VLOOKUP(E112,$N$13:$O$17,2,0)</f>
        <v>-</v>
      </c>
      <c r="G112" s="95"/>
      <c r="H112" s="1091"/>
      <c r="I112" s="1091"/>
      <c r="J112" s="1083"/>
      <c r="K112" s="1083"/>
      <c r="L112" s="932"/>
      <c r="M112" s="932"/>
    </row>
    <row r="113" spans="1:13" s="106" customFormat="1" ht="15.75" hidden="1" customHeight="1" outlineLevel="1">
      <c r="A113" s="932"/>
      <c r="B113" s="1086"/>
      <c r="C113" s="1095"/>
      <c r="D113" s="1091"/>
      <c r="E113" s="1091"/>
      <c r="F113" s="1093"/>
      <c r="G113" s="98"/>
      <c r="H113" s="1091"/>
      <c r="I113" s="1091"/>
      <c r="J113" s="1084"/>
      <c r="K113" s="1084"/>
      <c r="L113" s="932"/>
      <c r="M113" s="932"/>
    </row>
    <row r="114" spans="1:13" s="106" customFormat="1" ht="15.75" hidden="1" customHeight="1" outlineLevel="1">
      <c r="A114" s="932"/>
      <c r="B114" s="1087"/>
      <c r="C114" s="1096"/>
      <c r="D114" s="1092"/>
      <c r="E114" s="1092"/>
      <c r="F114" s="1094"/>
      <c r="G114" s="103"/>
      <c r="H114" s="1092"/>
      <c r="I114" s="1092"/>
      <c r="J114" s="1085"/>
      <c r="K114" s="1085"/>
      <c r="L114" s="932"/>
      <c r="M114" s="932"/>
    </row>
    <row r="115" spans="1:13" s="106" customFormat="1" ht="15.75" hidden="1" customHeight="1" outlineLevel="1">
      <c r="A115" s="932"/>
      <c r="B115" s="1086">
        <v>35</v>
      </c>
      <c r="C115" s="1095"/>
      <c r="D115" s="1091"/>
      <c r="E115" s="1091" t="s">
        <v>20</v>
      </c>
      <c r="F115" s="1093" t="str">
        <f>VLOOKUP(E115,$N$13:$O$17,2,0)</f>
        <v>-</v>
      </c>
      <c r="G115" s="95"/>
      <c r="H115" s="1091"/>
      <c r="I115" s="1091"/>
      <c r="J115" s="1083"/>
      <c r="K115" s="1083"/>
      <c r="L115" s="932"/>
      <c r="M115" s="932"/>
    </row>
    <row r="116" spans="1:13" s="106" customFormat="1" ht="15.75" hidden="1" customHeight="1" outlineLevel="1">
      <c r="A116" s="932"/>
      <c r="B116" s="1086"/>
      <c r="C116" s="1095"/>
      <c r="D116" s="1091"/>
      <c r="E116" s="1091"/>
      <c r="F116" s="1093"/>
      <c r="G116" s="98"/>
      <c r="H116" s="1091"/>
      <c r="I116" s="1091"/>
      <c r="J116" s="1084"/>
      <c r="K116" s="1084"/>
      <c r="L116" s="932"/>
      <c r="M116" s="932"/>
    </row>
    <row r="117" spans="1:13" s="106" customFormat="1" ht="15.75" hidden="1" customHeight="1" outlineLevel="1">
      <c r="A117" s="932"/>
      <c r="B117" s="1087"/>
      <c r="C117" s="1096"/>
      <c r="D117" s="1092"/>
      <c r="E117" s="1092"/>
      <c r="F117" s="1094"/>
      <c r="G117" s="103"/>
      <c r="H117" s="1092"/>
      <c r="I117" s="1092"/>
      <c r="J117" s="1085"/>
      <c r="K117" s="1085"/>
      <c r="L117" s="932"/>
      <c r="M117" s="932"/>
    </row>
    <row r="118" spans="1:13" s="106" customFormat="1" ht="15.75" hidden="1" customHeight="1" outlineLevel="1">
      <c r="A118" s="932"/>
      <c r="B118" s="1086">
        <v>36</v>
      </c>
      <c r="C118" s="1095"/>
      <c r="D118" s="1091"/>
      <c r="E118" s="1091" t="s">
        <v>20</v>
      </c>
      <c r="F118" s="1093" t="str">
        <f>VLOOKUP(E118,$N$13:$O$17,2,0)</f>
        <v>-</v>
      </c>
      <c r="G118" s="95"/>
      <c r="H118" s="1091"/>
      <c r="I118" s="1091"/>
      <c r="J118" s="1083"/>
      <c r="K118" s="1083"/>
      <c r="L118" s="932"/>
      <c r="M118" s="932"/>
    </row>
    <row r="119" spans="1:13" s="106" customFormat="1" ht="15.75" hidden="1" customHeight="1" outlineLevel="1">
      <c r="A119" s="932"/>
      <c r="B119" s="1086"/>
      <c r="C119" s="1095"/>
      <c r="D119" s="1091"/>
      <c r="E119" s="1091"/>
      <c r="F119" s="1093"/>
      <c r="G119" s="98"/>
      <c r="H119" s="1091"/>
      <c r="I119" s="1091"/>
      <c r="J119" s="1084"/>
      <c r="K119" s="1084"/>
      <c r="L119" s="932"/>
      <c r="M119" s="932"/>
    </row>
    <row r="120" spans="1:13" s="106" customFormat="1" ht="15.75" hidden="1" customHeight="1" outlineLevel="1">
      <c r="A120" s="932"/>
      <c r="B120" s="1087"/>
      <c r="C120" s="1096"/>
      <c r="D120" s="1092"/>
      <c r="E120" s="1092"/>
      <c r="F120" s="1094"/>
      <c r="G120" s="103"/>
      <c r="H120" s="1092"/>
      <c r="I120" s="1092"/>
      <c r="J120" s="1085"/>
      <c r="K120" s="1085"/>
      <c r="L120" s="932"/>
      <c r="M120" s="932"/>
    </row>
    <row r="121" spans="1:13" s="106" customFormat="1" ht="15.75" hidden="1" customHeight="1" outlineLevel="1">
      <c r="A121" s="932"/>
      <c r="B121" s="1086">
        <v>37</v>
      </c>
      <c r="C121" s="1095"/>
      <c r="D121" s="1091"/>
      <c r="E121" s="1091" t="s">
        <v>20</v>
      </c>
      <c r="F121" s="1093" t="str">
        <f>VLOOKUP(E121,$N$13:$O$17,2,0)</f>
        <v>-</v>
      </c>
      <c r="G121" s="95"/>
      <c r="H121" s="1091"/>
      <c r="I121" s="1091"/>
      <c r="J121" s="1083"/>
      <c r="K121" s="1083"/>
      <c r="L121" s="932"/>
      <c r="M121" s="932"/>
    </row>
    <row r="122" spans="1:13" s="106" customFormat="1" ht="15.75" hidden="1" customHeight="1" outlineLevel="1">
      <c r="A122" s="932"/>
      <c r="B122" s="1086"/>
      <c r="C122" s="1095"/>
      <c r="D122" s="1091"/>
      <c r="E122" s="1091"/>
      <c r="F122" s="1093"/>
      <c r="G122" s="98"/>
      <c r="H122" s="1091"/>
      <c r="I122" s="1091"/>
      <c r="J122" s="1084"/>
      <c r="K122" s="1084"/>
      <c r="L122" s="932"/>
      <c r="M122" s="932"/>
    </row>
    <row r="123" spans="1:13" s="106" customFormat="1" ht="15.75" hidden="1" customHeight="1" outlineLevel="1">
      <c r="A123" s="932"/>
      <c r="B123" s="1087"/>
      <c r="C123" s="1096"/>
      <c r="D123" s="1092"/>
      <c r="E123" s="1092"/>
      <c r="F123" s="1094"/>
      <c r="G123" s="103"/>
      <c r="H123" s="1092"/>
      <c r="I123" s="1092"/>
      <c r="J123" s="1085"/>
      <c r="K123" s="1085"/>
      <c r="L123" s="932"/>
      <c r="M123" s="932"/>
    </row>
    <row r="124" spans="1:13" s="106" customFormat="1" ht="15.75" hidden="1" customHeight="1" outlineLevel="1">
      <c r="A124" s="932"/>
      <c r="B124" s="1086">
        <v>38</v>
      </c>
      <c r="C124" s="1095"/>
      <c r="D124" s="1091"/>
      <c r="E124" s="1091" t="s">
        <v>20</v>
      </c>
      <c r="F124" s="1093" t="str">
        <f>VLOOKUP(E124,$N$13:$O$17,2,0)</f>
        <v>-</v>
      </c>
      <c r="G124" s="95"/>
      <c r="H124" s="1091"/>
      <c r="I124" s="1091"/>
      <c r="J124" s="1083"/>
      <c r="K124" s="1083"/>
      <c r="L124" s="932"/>
      <c r="M124" s="932"/>
    </row>
    <row r="125" spans="1:13" s="106" customFormat="1" ht="15.75" hidden="1" customHeight="1" outlineLevel="1">
      <c r="A125" s="932"/>
      <c r="B125" s="1086"/>
      <c r="C125" s="1095"/>
      <c r="D125" s="1091"/>
      <c r="E125" s="1091"/>
      <c r="F125" s="1093"/>
      <c r="G125" s="98"/>
      <c r="H125" s="1091"/>
      <c r="I125" s="1091"/>
      <c r="J125" s="1084"/>
      <c r="K125" s="1084"/>
      <c r="L125" s="932"/>
      <c r="M125" s="932"/>
    </row>
    <row r="126" spans="1:13" s="106" customFormat="1" ht="15.75" hidden="1" customHeight="1" outlineLevel="1">
      <c r="A126" s="932"/>
      <c r="B126" s="1087"/>
      <c r="C126" s="1096"/>
      <c r="D126" s="1092"/>
      <c r="E126" s="1092"/>
      <c r="F126" s="1094"/>
      <c r="G126" s="103"/>
      <c r="H126" s="1092"/>
      <c r="I126" s="1092"/>
      <c r="J126" s="1085"/>
      <c r="K126" s="1085"/>
      <c r="L126" s="932"/>
      <c r="M126" s="932"/>
    </row>
    <row r="127" spans="1:13" s="106" customFormat="1" ht="15.75" hidden="1" customHeight="1" outlineLevel="1">
      <c r="A127" s="932"/>
      <c r="B127" s="1086">
        <v>39</v>
      </c>
      <c r="C127" s="1095"/>
      <c r="D127" s="1091"/>
      <c r="E127" s="1091" t="s">
        <v>20</v>
      </c>
      <c r="F127" s="1093" t="str">
        <f>VLOOKUP(E127,$N$13:$O$17,2,0)</f>
        <v>-</v>
      </c>
      <c r="G127" s="95"/>
      <c r="H127" s="1091"/>
      <c r="I127" s="1091"/>
      <c r="J127" s="1083"/>
      <c r="K127" s="1083"/>
      <c r="L127" s="932"/>
      <c r="M127" s="932"/>
    </row>
    <row r="128" spans="1:13" s="106" customFormat="1" ht="15.75" hidden="1" customHeight="1" outlineLevel="1">
      <c r="A128" s="932"/>
      <c r="B128" s="1086"/>
      <c r="C128" s="1095"/>
      <c r="D128" s="1091"/>
      <c r="E128" s="1091"/>
      <c r="F128" s="1093"/>
      <c r="G128" s="98"/>
      <c r="H128" s="1091"/>
      <c r="I128" s="1091"/>
      <c r="J128" s="1084"/>
      <c r="K128" s="1084"/>
      <c r="L128" s="932"/>
      <c r="M128" s="932"/>
    </row>
    <row r="129" spans="1:13" s="106" customFormat="1" ht="15.75" hidden="1" customHeight="1" outlineLevel="1">
      <c r="A129" s="932"/>
      <c r="B129" s="1087"/>
      <c r="C129" s="1096"/>
      <c r="D129" s="1092"/>
      <c r="E129" s="1092"/>
      <c r="F129" s="1094"/>
      <c r="G129" s="103"/>
      <c r="H129" s="1092"/>
      <c r="I129" s="1092"/>
      <c r="J129" s="1085"/>
      <c r="K129" s="1085"/>
      <c r="L129" s="932"/>
      <c r="M129" s="932"/>
    </row>
    <row r="130" spans="1:13" s="106" customFormat="1" ht="15.75" hidden="1" customHeight="1" outlineLevel="1">
      <c r="A130" s="932"/>
      <c r="B130" s="1086">
        <v>40</v>
      </c>
      <c r="C130" s="1095"/>
      <c r="D130" s="1091"/>
      <c r="E130" s="1091" t="s">
        <v>20</v>
      </c>
      <c r="F130" s="1093" t="str">
        <f>VLOOKUP(E130,$N$13:$O$17,2,0)</f>
        <v>-</v>
      </c>
      <c r="G130" s="95"/>
      <c r="H130" s="1091"/>
      <c r="I130" s="1091"/>
      <c r="J130" s="1083"/>
      <c r="K130" s="1083"/>
      <c r="L130" s="932"/>
      <c r="M130" s="932"/>
    </row>
    <row r="131" spans="1:13" s="106" customFormat="1" ht="15.75" hidden="1" customHeight="1" outlineLevel="1">
      <c r="A131" s="932"/>
      <c r="B131" s="1086"/>
      <c r="C131" s="1095"/>
      <c r="D131" s="1091"/>
      <c r="E131" s="1091"/>
      <c r="F131" s="1093"/>
      <c r="G131" s="98"/>
      <c r="H131" s="1091"/>
      <c r="I131" s="1091"/>
      <c r="J131" s="1084"/>
      <c r="K131" s="1084"/>
      <c r="L131" s="932"/>
      <c r="M131" s="932"/>
    </row>
    <row r="132" spans="1:13" s="106" customFormat="1" ht="15.75" hidden="1" customHeight="1" outlineLevel="1">
      <c r="A132" s="932"/>
      <c r="B132" s="1087"/>
      <c r="C132" s="1096"/>
      <c r="D132" s="1092"/>
      <c r="E132" s="1092"/>
      <c r="F132" s="1094"/>
      <c r="G132" s="103"/>
      <c r="H132" s="1092"/>
      <c r="I132" s="1092"/>
      <c r="J132" s="1085"/>
      <c r="K132" s="1085"/>
      <c r="L132" s="932"/>
      <c r="M132" s="932"/>
    </row>
    <row r="133" spans="1:13" s="106" customFormat="1" ht="15.75" hidden="1" customHeight="1" outlineLevel="1">
      <c r="A133" s="932"/>
      <c r="B133" s="1086">
        <v>41</v>
      </c>
      <c r="C133" s="1095"/>
      <c r="D133" s="1091"/>
      <c r="E133" s="1091" t="s">
        <v>20</v>
      </c>
      <c r="F133" s="1093" t="str">
        <f>VLOOKUP(E133,$N$13:$O$17,2,0)</f>
        <v>-</v>
      </c>
      <c r="G133" s="95"/>
      <c r="H133" s="1091"/>
      <c r="I133" s="1091"/>
      <c r="J133" s="1083"/>
      <c r="K133" s="1083"/>
      <c r="L133" s="932"/>
      <c r="M133" s="932"/>
    </row>
    <row r="134" spans="1:13" s="106" customFormat="1" ht="15.75" hidden="1" customHeight="1" outlineLevel="1">
      <c r="A134" s="932"/>
      <c r="B134" s="1086"/>
      <c r="C134" s="1095"/>
      <c r="D134" s="1091"/>
      <c r="E134" s="1091"/>
      <c r="F134" s="1093"/>
      <c r="G134" s="98"/>
      <c r="H134" s="1091"/>
      <c r="I134" s="1091"/>
      <c r="J134" s="1084"/>
      <c r="K134" s="1084"/>
      <c r="L134" s="932"/>
      <c r="M134" s="932"/>
    </row>
    <row r="135" spans="1:13" s="106" customFormat="1" ht="15.75" hidden="1" customHeight="1" outlineLevel="1">
      <c r="A135" s="932"/>
      <c r="B135" s="1087"/>
      <c r="C135" s="1096"/>
      <c r="D135" s="1092"/>
      <c r="E135" s="1092"/>
      <c r="F135" s="1094"/>
      <c r="G135" s="103"/>
      <c r="H135" s="1092"/>
      <c r="I135" s="1092"/>
      <c r="J135" s="1085"/>
      <c r="K135" s="1085"/>
      <c r="L135" s="932"/>
      <c r="M135" s="932"/>
    </row>
    <row r="136" spans="1:13" s="106" customFormat="1" ht="15.75" hidden="1" customHeight="1" outlineLevel="1">
      <c r="A136" s="932"/>
      <c r="B136" s="1086">
        <v>42</v>
      </c>
      <c r="C136" s="1095"/>
      <c r="D136" s="1091"/>
      <c r="E136" s="1091" t="s">
        <v>20</v>
      </c>
      <c r="F136" s="1093" t="str">
        <f>VLOOKUP(E136,$N$13:$O$17,2,0)</f>
        <v>-</v>
      </c>
      <c r="G136" s="95"/>
      <c r="H136" s="1091"/>
      <c r="I136" s="1091"/>
      <c r="J136" s="1083"/>
      <c r="K136" s="1083"/>
      <c r="L136" s="932"/>
      <c r="M136" s="932"/>
    </row>
    <row r="137" spans="1:13" s="106" customFormat="1" ht="15.75" hidden="1" customHeight="1" outlineLevel="1">
      <c r="A137" s="932"/>
      <c r="B137" s="1086"/>
      <c r="C137" s="1095"/>
      <c r="D137" s="1091"/>
      <c r="E137" s="1091"/>
      <c r="F137" s="1093"/>
      <c r="G137" s="98"/>
      <c r="H137" s="1091"/>
      <c r="I137" s="1091"/>
      <c r="J137" s="1084"/>
      <c r="K137" s="1084"/>
      <c r="L137" s="932"/>
      <c r="M137" s="932"/>
    </row>
    <row r="138" spans="1:13" s="106" customFormat="1" ht="15.75" hidden="1" customHeight="1" outlineLevel="1">
      <c r="A138" s="932"/>
      <c r="B138" s="1087"/>
      <c r="C138" s="1096"/>
      <c r="D138" s="1092"/>
      <c r="E138" s="1092"/>
      <c r="F138" s="1094"/>
      <c r="G138" s="103"/>
      <c r="H138" s="1092"/>
      <c r="I138" s="1092"/>
      <c r="J138" s="1085"/>
      <c r="K138" s="1085"/>
      <c r="L138" s="932"/>
      <c r="M138" s="932"/>
    </row>
    <row r="139" spans="1:13" s="106" customFormat="1" ht="15.75" hidden="1" customHeight="1" outlineLevel="1">
      <c r="A139" s="932"/>
      <c r="B139" s="1086">
        <v>43</v>
      </c>
      <c r="C139" s="1095"/>
      <c r="D139" s="1091"/>
      <c r="E139" s="1091" t="s">
        <v>20</v>
      </c>
      <c r="F139" s="1093" t="str">
        <f>VLOOKUP(E139,$N$13:$O$17,2,0)</f>
        <v>-</v>
      </c>
      <c r="G139" s="95"/>
      <c r="H139" s="1091"/>
      <c r="I139" s="1091"/>
      <c r="J139" s="1083"/>
      <c r="K139" s="1083"/>
      <c r="L139" s="932"/>
      <c r="M139" s="932"/>
    </row>
    <row r="140" spans="1:13" s="106" customFormat="1" ht="15.75" hidden="1" customHeight="1" outlineLevel="1">
      <c r="A140" s="932"/>
      <c r="B140" s="1086"/>
      <c r="C140" s="1095"/>
      <c r="D140" s="1091"/>
      <c r="E140" s="1091"/>
      <c r="F140" s="1093"/>
      <c r="G140" s="98"/>
      <c r="H140" s="1091"/>
      <c r="I140" s="1091"/>
      <c r="J140" s="1084"/>
      <c r="K140" s="1084"/>
      <c r="L140" s="932"/>
      <c r="M140" s="932"/>
    </row>
    <row r="141" spans="1:13" s="106" customFormat="1" ht="15.75" hidden="1" customHeight="1" outlineLevel="1">
      <c r="A141" s="932"/>
      <c r="B141" s="1087"/>
      <c r="C141" s="1096"/>
      <c r="D141" s="1092"/>
      <c r="E141" s="1092"/>
      <c r="F141" s="1094"/>
      <c r="G141" s="103"/>
      <c r="H141" s="1092"/>
      <c r="I141" s="1092"/>
      <c r="J141" s="1085"/>
      <c r="K141" s="1085"/>
      <c r="L141" s="932"/>
      <c r="M141" s="932"/>
    </row>
    <row r="142" spans="1:13" s="106" customFormat="1" ht="15.75" hidden="1" customHeight="1" outlineLevel="1">
      <c r="A142" s="932"/>
      <c r="B142" s="1086">
        <v>44</v>
      </c>
      <c r="C142" s="1095"/>
      <c r="D142" s="1091"/>
      <c r="E142" s="1091" t="s">
        <v>20</v>
      </c>
      <c r="F142" s="1093" t="str">
        <f>VLOOKUP(E142,$N$13:$O$17,2,0)</f>
        <v>-</v>
      </c>
      <c r="G142" s="95"/>
      <c r="H142" s="93"/>
      <c r="I142" s="1091"/>
      <c r="J142" s="1083"/>
      <c r="K142" s="1083"/>
      <c r="L142" s="932"/>
      <c r="M142" s="932"/>
    </row>
    <row r="143" spans="1:13" s="106" customFormat="1" ht="15.75" hidden="1" customHeight="1" outlineLevel="1">
      <c r="A143" s="932"/>
      <c r="B143" s="1086"/>
      <c r="C143" s="1095"/>
      <c r="D143" s="1091"/>
      <c r="E143" s="1091"/>
      <c r="F143" s="1093"/>
      <c r="G143" s="98"/>
      <c r="H143" s="93"/>
      <c r="I143" s="1091"/>
      <c r="J143" s="1084"/>
      <c r="K143" s="1084"/>
      <c r="L143" s="932"/>
      <c r="M143" s="932"/>
    </row>
    <row r="144" spans="1:13" s="106" customFormat="1" ht="15.75" hidden="1" customHeight="1" outlineLevel="1">
      <c r="A144" s="932"/>
      <c r="B144" s="1087"/>
      <c r="C144" s="1096"/>
      <c r="D144" s="1092"/>
      <c r="E144" s="1092"/>
      <c r="F144" s="1094"/>
      <c r="G144" s="103"/>
      <c r="H144" s="101"/>
      <c r="I144" s="1092"/>
      <c r="J144" s="1085"/>
      <c r="K144" s="1085"/>
      <c r="L144" s="932"/>
      <c r="M144" s="932"/>
    </row>
    <row r="145" spans="1:13" s="106" customFormat="1" ht="15.75" hidden="1" customHeight="1" outlineLevel="1">
      <c r="A145" s="932"/>
      <c r="B145" s="1086">
        <v>45</v>
      </c>
      <c r="C145" s="1095"/>
      <c r="D145" s="1091"/>
      <c r="E145" s="1091" t="s">
        <v>20</v>
      </c>
      <c r="F145" s="1093" t="str">
        <f>VLOOKUP(E145,$N$13:$O$17,2,0)</f>
        <v>-</v>
      </c>
      <c r="G145" s="95"/>
      <c r="H145" s="93"/>
      <c r="I145" s="1091"/>
      <c r="J145" s="1083"/>
      <c r="K145" s="1083"/>
      <c r="L145" s="932"/>
      <c r="M145" s="932"/>
    </row>
    <row r="146" spans="1:13" s="106" customFormat="1" ht="15.75" hidden="1" customHeight="1" outlineLevel="1">
      <c r="A146" s="932"/>
      <c r="B146" s="1086"/>
      <c r="C146" s="1095"/>
      <c r="D146" s="1091"/>
      <c r="E146" s="1091"/>
      <c r="F146" s="1093"/>
      <c r="G146" s="98"/>
      <c r="H146" s="93"/>
      <c r="I146" s="1091"/>
      <c r="J146" s="1084"/>
      <c r="K146" s="1084"/>
      <c r="L146" s="932"/>
      <c r="M146" s="932"/>
    </row>
    <row r="147" spans="1:13" s="106" customFormat="1" ht="15.75" hidden="1" customHeight="1" outlineLevel="1">
      <c r="A147" s="932"/>
      <c r="B147" s="1087"/>
      <c r="C147" s="1096"/>
      <c r="D147" s="1092"/>
      <c r="E147" s="1092"/>
      <c r="F147" s="1094"/>
      <c r="G147" s="103"/>
      <c r="H147" s="101"/>
      <c r="I147" s="1092"/>
      <c r="J147" s="1085"/>
      <c r="K147" s="1085"/>
      <c r="L147" s="932"/>
      <c r="M147" s="932"/>
    </row>
    <row r="148" spans="1:13" s="106" customFormat="1" ht="15.75" hidden="1" customHeight="1" outlineLevel="1">
      <c r="A148" s="932"/>
      <c r="B148" s="1086">
        <v>46</v>
      </c>
      <c r="C148" s="1095"/>
      <c r="D148" s="1091"/>
      <c r="E148" s="1091" t="s">
        <v>20</v>
      </c>
      <c r="F148" s="1093" t="str">
        <f>VLOOKUP(E148,$N$13:$O$17,2,0)</f>
        <v>-</v>
      </c>
      <c r="G148" s="95"/>
      <c r="H148" s="93"/>
      <c r="I148" s="1091"/>
      <c r="J148" s="1083"/>
      <c r="K148" s="1083"/>
      <c r="L148" s="932"/>
      <c r="M148" s="932"/>
    </row>
    <row r="149" spans="1:13" s="106" customFormat="1" ht="15.75" hidden="1" customHeight="1" outlineLevel="1">
      <c r="A149" s="932"/>
      <c r="B149" s="1086"/>
      <c r="C149" s="1095"/>
      <c r="D149" s="1091"/>
      <c r="E149" s="1091"/>
      <c r="F149" s="1093"/>
      <c r="G149" s="98"/>
      <c r="H149" s="93"/>
      <c r="I149" s="1091"/>
      <c r="J149" s="1084"/>
      <c r="K149" s="1084"/>
      <c r="L149" s="932"/>
      <c r="M149" s="932"/>
    </row>
    <row r="150" spans="1:13" s="106" customFormat="1" ht="15.75" hidden="1" customHeight="1" outlineLevel="1">
      <c r="A150" s="932"/>
      <c r="B150" s="1087"/>
      <c r="C150" s="1096"/>
      <c r="D150" s="1092"/>
      <c r="E150" s="1092"/>
      <c r="F150" s="1094"/>
      <c r="G150" s="103"/>
      <c r="H150" s="101"/>
      <c r="I150" s="1092"/>
      <c r="J150" s="1085"/>
      <c r="K150" s="1085"/>
      <c r="L150" s="932"/>
      <c r="M150" s="932"/>
    </row>
    <row r="151" spans="1:13" s="106" customFormat="1" ht="15.75" hidden="1" customHeight="1" outlineLevel="1">
      <c r="A151" s="932"/>
      <c r="B151" s="1086">
        <v>47</v>
      </c>
      <c r="C151" s="1095"/>
      <c r="D151" s="1091"/>
      <c r="E151" s="1091" t="s">
        <v>20</v>
      </c>
      <c r="F151" s="1093" t="str">
        <f>VLOOKUP(E151,$N$13:$O$17,2,0)</f>
        <v>-</v>
      </c>
      <c r="G151" s="95"/>
      <c r="H151" s="93"/>
      <c r="I151" s="1091"/>
      <c r="J151" s="1083"/>
      <c r="K151" s="1083"/>
      <c r="L151" s="932"/>
      <c r="M151" s="932"/>
    </row>
    <row r="152" spans="1:13" s="106" customFormat="1" ht="15.75" hidden="1" customHeight="1" outlineLevel="1">
      <c r="A152" s="932"/>
      <c r="B152" s="1086"/>
      <c r="C152" s="1095"/>
      <c r="D152" s="1091"/>
      <c r="E152" s="1091"/>
      <c r="F152" s="1093"/>
      <c r="G152" s="98"/>
      <c r="H152" s="93"/>
      <c r="I152" s="1091"/>
      <c r="J152" s="1084"/>
      <c r="K152" s="1084"/>
      <c r="L152" s="932"/>
      <c r="M152" s="932"/>
    </row>
    <row r="153" spans="1:13" s="106" customFormat="1" ht="15.75" hidden="1" customHeight="1" outlineLevel="1">
      <c r="A153" s="932"/>
      <c r="B153" s="1087"/>
      <c r="C153" s="1096"/>
      <c r="D153" s="1092"/>
      <c r="E153" s="1092"/>
      <c r="F153" s="1094"/>
      <c r="G153" s="103"/>
      <c r="H153" s="101"/>
      <c r="I153" s="1092"/>
      <c r="J153" s="1085"/>
      <c r="K153" s="1085"/>
      <c r="L153" s="932"/>
      <c r="M153" s="932"/>
    </row>
    <row r="154" spans="1:13" s="106" customFormat="1" ht="15.75" hidden="1" customHeight="1" outlineLevel="1">
      <c r="A154" s="932"/>
      <c r="B154" s="1086">
        <v>48</v>
      </c>
      <c r="C154" s="1095"/>
      <c r="D154" s="1091"/>
      <c r="E154" s="1091" t="s">
        <v>20</v>
      </c>
      <c r="F154" s="1093" t="str">
        <f>VLOOKUP(E154,$N$13:$O$17,2,0)</f>
        <v>-</v>
      </c>
      <c r="G154" s="95"/>
      <c r="H154" s="93"/>
      <c r="I154" s="1091"/>
      <c r="J154" s="1083"/>
      <c r="K154" s="1083"/>
      <c r="L154" s="932"/>
      <c r="M154" s="932"/>
    </row>
    <row r="155" spans="1:13" s="106" customFormat="1" ht="15.75" hidden="1" customHeight="1" outlineLevel="1">
      <c r="A155" s="932"/>
      <c r="B155" s="1086"/>
      <c r="C155" s="1095"/>
      <c r="D155" s="1091"/>
      <c r="E155" s="1091"/>
      <c r="F155" s="1093"/>
      <c r="G155" s="98"/>
      <c r="H155" s="93"/>
      <c r="I155" s="1091"/>
      <c r="J155" s="1084"/>
      <c r="K155" s="1084"/>
      <c r="L155" s="932"/>
      <c r="M155" s="932"/>
    </row>
    <row r="156" spans="1:13" s="106" customFormat="1" ht="15.75" hidden="1" customHeight="1" outlineLevel="1">
      <c r="A156" s="932"/>
      <c r="B156" s="1087"/>
      <c r="C156" s="1096"/>
      <c r="D156" s="1092"/>
      <c r="E156" s="1092"/>
      <c r="F156" s="1094"/>
      <c r="G156" s="103"/>
      <c r="H156" s="101"/>
      <c r="I156" s="1092"/>
      <c r="J156" s="1085"/>
      <c r="K156" s="1085"/>
      <c r="L156" s="932"/>
      <c r="M156" s="932"/>
    </row>
    <row r="157" spans="1:13" s="106" customFormat="1" ht="15.75" hidden="1" customHeight="1" outlineLevel="1">
      <c r="A157" s="932"/>
      <c r="B157" s="1086">
        <v>49</v>
      </c>
      <c r="C157" s="1095"/>
      <c r="D157" s="1091"/>
      <c r="E157" s="1091" t="s">
        <v>20</v>
      </c>
      <c r="F157" s="1093" t="str">
        <f>VLOOKUP(E157,$N$13:$O$17,2,0)</f>
        <v>-</v>
      </c>
      <c r="G157" s="95"/>
      <c r="H157" s="93"/>
      <c r="I157" s="1091"/>
      <c r="J157" s="1083"/>
      <c r="K157" s="1083"/>
      <c r="L157" s="932"/>
      <c r="M157" s="932"/>
    </row>
    <row r="158" spans="1:13" s="106" customFormat="1" ht="15.75" hidden="1" customHeight="1" outlineLevel="1">
      <c r="A158" s="932"/>
      <c r="B158" s="1086"/>
      <c r="C158" s="1095"/>
      <c r="D158" s="1091"/>
      <c r="E158" s="1091"/>
      <c r="F158" s="1093"/>
      <c r="G158" s="98"/>
      <c r="H158" s="93"/>
      <c r="I158" s="1091"/>
      <c r="J158" s="1084"/>
      <c r="K158" s="1084"/>
      <c r="L158" s="932"/>
      <c r="M158" s="932"/>
    </row>
    <row r="159" spans="1:13" s="106" customFormat="1" ht="15.75" hidden="1" customHeight="1" outlineLevel="1">
      <c r="A159" s="932"/>
      <c r="B159" s="1087"/>
      <c r="C159" s="1096"/>
      <c r="D159" s="1092"/>
      <c r="E159" s="1092"/>
      <c r="F159" s="1094"/>
      <c r="G159" s="103"/>
      <c r="H159" s="101"/>
      <c r="I159" s="1092"/>
      <c r="J159" s="1085"/>
      <c r="K159" s="1085"/>
      <c r="L159" s="932"/>
      <c r="M159" s="932"/>
    </row>
    <row r="160" spans="1:13" s="106" customFormat="1" ht="15.75" hidden="1" customHeight="1" outlineLevel="1">
      <c r="A160" s="932"/>
      <c r="B160" s="1086">
        <v>50</v>
      </c>
      <c r="C160" s="1095"/>
      <c r="D160" s="1091"/>
      <c r="E160" s="1091" t="s">
        <v>20</v>
      </c>
      <c r="F160" s="1093" t="str">
        <f>VLOOKUP(E160,$N$13:$O$17,2,0)</f>
        <v>-</v>
      </c>
      <c r="G160" s="95"/>
      <c r="H160" s="93"/>
      <c r="I160" s="1091"/>
      <c r="J160" s="1083"/>
      <c r="K160" s="1083"/>
      <c r="L160" s="932"/>
      <c r="M160" s="932"/>
    </row>
    <row r="161" spans="1:13" s="106" customFormat="1" ht="15.75" hidden="1" customHeight="1" outlineLevel="1">
      <c r="A161" s="932"/>
      <c r="B161" s="1086"/>
      <c r="C161" s="1095"/>
      <c r="D161" s="1091"/>
      <c r="E161" s="1091"/>
      <c r="F161" s="1093"/>
      <c r="G161" s="98"/>
      <c r="H161" s="93"/>
      <c r="I161" s="1091"/>
      <c r="J161" s="1084"/>
      <c r="K161" s="1084"/>
      <c r="L161" s="932"/>
      <c r="M161" s="932"/>
    </row>
    <row r="162" spans="1:13" s="106" customFormat="1" ht="15.75" hidden="1" customHeight="1" outlineLevel="1">
      <c r="A162" s="932"/>
      <c r="B162" s="1087"/>
      <c r="C162" s="1096"/>
      <c r="D162" s="1092"/>
      <c r="E162" s="1092"/>
      <c r="F162" s="1094"/>
      <c r="G162" s="103"/>
      <c r="H162" s="101"/>
      <c r="I162" s="1092"/>
      <c r="J162" s="1085"/>
      <c r="K162" s="1085"/>
      <c r="L162" s="932"/>
      <c r="M162" s="932"/>
    </row>
    <row r="163" spans="1:13" s="106" customFormat="1" ht="15.75" hidden="1" customHeight="1" outlineLevel="1">
      <c r="A163" s="932"/>
      <c r="B163" s="1086">
        <v>51</v>
      </c>
      <c r="C163" s="1095"/>
      <c r="D163" s="1091"/>
      <c r="E163" s="1091" t="s">
        <v>20</v>
      </c>
      <c r="F163" s="1093" t="str">
        <f>VLOOKUP(E163,$N$13:$O$17,2,0)</f>
        <v>-</v>
      </c>
      <c r="G163" s="95"/>
      <c r="H163" s="93"/>
      <c r="I163" s="1091"/>
      <c r="J163" s="1083"/>
      <c r="K163" s="1083"/>
      <c r="L163" s="932"/>
      <c r="M163" s="932"/>
    </row>
    <row r="164" spans="1:13" s="106" customFormat="1" ht="15.75" hidden="1" customHeight="1" outlineLevel="1">
      <c r="A164" s="932"/>
      <c r="B164" s="1086"/>
      <c r="C164" s="1095"/>
      <c r="D164" s="1091"/>
      <c r="E164" s="1091"/>
      <c r="F164" s="1093"/>
      <c r="G164" s="98"/>
      <c r="H164" s="93"/>
      <c r="I164" s="1091"/>
      <c r="J164" s="1084"/>
      <c r="K164" s="1084"/>
      <c r="L164" s="932"/>
      <c r="M164" s="932"/>
    </row>
    <row r="165" spans="1:13" s="106" customFormat="1" ht="15.75" hidden="1" customHeight="1" outlineLevel="1">
      <c r="A165" s="932"/>
      <c r="B165" s="1087"/>
      <c r="C165" s="1096"/>
      <c r="D165" s="1092"/>
      <c r="E165" s="1092"/>
      <c r="F165" s="1094"/>
      <c r="G165" s="103"/>
      <c r="H165" s="101"/>
      <c r="I165" s="1092"/>
      <c r="J165" s="1085"/>
      <c r="K165" s="1085"/>
      <c r="L165" s="932"/>
      <c r="M165" s="932"/>
    </row>
    <row r="166" spans="1:13" s="106" customFormat="1" ht="15.75" hidden="1" customHeight="1" outlineLevel="1">
      <c r="A166" s="932"/>
      <c r="B166" s="1086">
        <v>52</v>
      </c>
      <c r="C166" s="1095"/>
      <c r="D166" s="1091"/>
      <c r="E166" s="1091" t="s">
        <v>20</v>
      </c>
      <c r="F166" s="1093" t="str">
        <f>VLOOKUP(E166,$N$13:$O$17,2,0)</f>
        <v>-</v>
      </c>
      <c r="G166" s="95"/>
      <c r="H166" s="93"/>
      <c r="I166" s="1091"/>
      <c r="J166" s="1083"/>
      <c r="K166" s="1083"/>
      <c r="L166" s="932"/>
      <c r="M166" s="932"/>
    </row>
    <row r="167" spans="1:13" s="106" customFormat="1" ht="15.75" hidden="1" customHeight="1" outlineLevel="1">
      <c r="A167" s="932"/>
      <c r="B167" s="1086"/>
      <c r="C167" s="1095"/>
      <c r="D167" s="1091"/>
      <c r="E167" s="1091"/>
      <c r="F167" s="1093"/>
      <c r="G167" s="98"/>
      <c r="H167" s="93"/>
      <c r="I167" s="1091"/>
      <c r="J167" s="1084"/>
      <c r="K167" s="1084"/>
      <c r="L167" s="932"/>
      <c r="M167" s="932"/>
    </row>
    <row r="168" spans="1:13" s="106" customFormat="1" ht="15.75" hidden="1" customHeight="1" outlineLevel="1">
      <c r="A168" s="932"/>
      <c r="B168" s="1087"/>
      <c r="C168" s="1096"/>
      <c r="D168" s="1092"/>
      <c r="E168" s="1092"/>
      <c r="F168" s="1094"/>
      <c r="G168" s="103"/>
      <c r="H168" s="101"/>
      <c r="I168" s="1092"/>
      <c r="J168" s="1085"/>
      <c r="K168" s="1085"/>
      <c r="L168" s="932"/>
      <c r="M168" s="932"/>
    </row>
    <row r="169" spans="1:13" s="106" customFormat="1" ht="15.75" hidden="1" customHeight="1" outlineLevel="1">
      <c r="A169" s="932"/>
      <c r="B169" s="1086">
        <v>53</v>
      </c>
      <c r="C169" s="1095"/>
      <c r="D169" s="1091"/>
      <c r="E169" s="1091" t="s">
        <v>20</v>
      </c>
      <c r="F169" s="1093" t="str">
        <f>VLOOKUP(E169,$N$13:$O$17,2,0)</f>
        <v>-</v>
      </c>
      <c r="G169" s="95"/>
      <c r="H169" s="93"/>
      <c r="I169" s="1091"/>
      <c r="J169" s="1083"/>
      <c r="K169" s="1083"/>
      <c r="L169" s="932"/>
      <c r="M169" s="932"/>
    </row>
    <row r="170" spans="1:13" s="106" customFormat="1" ht="15.75" hidden="1" customHeight="1" outlineLevel="1">
      <c r="A170" s="932"/>
      <c r="B170" s="1086"/>
      <c r="C170" s="1095"/>
      <c r="D170" s="1091"/>
      <c r="E170" s="1091"/>
      <c r="F170" s="1093"/>
      <c r="G170" s="98"/>
      <c r="H170" s="93"/>
      <c r="I170" s="1091"/>
      <c r="J170" s="1084"/>
      <c r="K170" s="1084"/>
      <c r="L170" s="932"/>
      <c r="M170" s="932"/>
    </row>
    <row r="171" spans="1:13" s="106" customFormat="1" ht="15.75" hidden="1" customHeight="1" outlineLevel="1">
      <c r="A171" s="932"/>
      <c r="B171" s="1087"/>
      <c r="C171" s="1096"/>
      <c r="D171" s="1092"/>
      <c r="E171" s="1092"/>
      <c r="F171" s="1094"/>
      <c r="G171" s="103"/>
      <c r="H171" s="101"/>
      <c r="I171" s="1092"/>
      <c r="J171" s="1085"/>
      <c r="K171" s="1085"/>
      <c r="L171" s="932"/>
      <c r="M171" s="932"/>
    </row>
    <row r="172" spans="1:13" s="106" customFormat="1" ht="15.75" hidden="1" customHeight="1" outlineLevel="1">
      <c r="A172" s="932"/>
      <c r="B172" s="1086">
        <v>54</v>
      </c>
      <c r="C172" s="1095"/>
      <c r="D172" s="1091"/>
      <c r="E172" s="1091" t="s">
        <v>20</v>
      </c>
      <c r="F172" s="1093" t="str">
        <f>VLOOKUP(E172,$N$13:$O$17,2,0)</f>
        <v>-</v>
      </c>
      <c r="G172" s="95"/>
      <c r="H172" s="93"/>
      <c r="I172" s="1091"/>
      <c r="J172" s="1083"/>
      <c r="K172" s="1083"/>
      <c r="L172" s="932"/>
      <c r="M172" s="932"/>
    </row>
    <row r="173" spans="1:13" s="106" customFormat="1" ht="15.75" hidden="1" customHeight="1" outlineLevel="1">
      <c r="A173" s="932"/>
      <c r="B173" s="1086"/>
      <c r="C173" s="1095"/>
      <c r="D173" s="1091"/>
      <c r="E173" s="1091"/>
      <c r="F173" s="1093"/>
      <c r="G173" s="98"/>
      <c r="H173" s="93"/>
      <c r="I173" s="1091"/>
      <c r="J173" s="1084"/>
      <c r="K173" s="1084"/>
      <c r="L173" s="932"/>
      <c r="M173" s="932"/>
    </row>
    <row r="174" spans="1:13" s="106" customFormat="1" ht="15.75" hidden="1" customHeight="1" outlineLevel="1">
      <c r="A174" s="932"/>
      <c r="B174" s="1087"/>
      <c r="C174" s="1096"/>
      <c r="D174" s="1092"/>
      <c r="E174" s="1092"/>
      <c r="F174" s="1094"/>
      <c r="G174" s="103"/>
      <c r="H174" s="101"/>
      <c r="I174" s="1092"/>
      <c r="J174" s="1085"/>
      <c r="K174" s="1085"/>
      <c r="L174" s="932"/>
      <c r="M174" s="932"/>
    </row>
    <row r="175" spans="1:13" s="106" customFormat="1" ht="15.75" hidden="1" customHeight="1" outlineLevel="1">
      <c r="A175" s="932"/>
      <c r="B175" s="1086">
        <v>55</v>
      </c>
      <c r="C175" s="1095"/>
      <c r="D175" s="1091"/>
      <c r="E175" s="1091" t="s">
        <v>20</v>
      </c>
      <c r="F175" s="1093" t="str">
        <f>VLOOKUP(E175,$N$13:$O$17,2,0)</f>
        <v>-</v>
      </c>
      <c r="G175" s="95"/>
      <c r="H175" s="93"/>
      <c r="I175" s="1091"/>
      <c r="J175" s="1083"/>
      <c r="K175" s="1083"/>
      <c r="L175" s="932"/>
      <c r="M175" s="932"/>
    </row>
    <row r="176" spans="1:13" s="106" customFormat="1" ht="15.75" hidden="1" customHeight="1" outlineLevel="1">
      <c r="A176" s="932"/>
      <c r="B176" s="1086"/>
      <c r="C176" s="1095"/>
      <c r="D176" s="1091"/>
      <c r="E176" s="1091"/>
      <c r="F176" s="1093"/>
      <c r="G176" s="98"/>
      <c r="H176" s="93"/>
      <c r="I176" s="1091"/>
      <c r="J176" s="1084"/>
      <c r="K176" s="1084"/>
      <c r="L176" s="932"/>
      <c r="M176" s="932"/>
    </row>
    <row r="177" spans="1:13" s="106" customFormat="1" ht="15.75" hidden="1" customHeight="1" outlineLevel="1">
      <c r="A177" s="932"/>
      <c r="B177" s="1087"/>
      <c r="C177" s="1096"/>
      <c r="D177" s="1092"/>
      <c r="E177" s="1092"/>
      <c r="F177" s="1094"/>
      <c r="G177" s="103"/>
      <c r="H177" s="101"/>
      <c r="I177" s="1092"/>
      <c r="J177" s="1085"/>
      <c r="K177" s="1085"/>
      <c r="L177" s="932"/>
      <c r="M177" s="932"/>
    </row>
    <row r="178" spans="1:13" s="106" customFormat="1" ht="15.75" hidden="1" customHeight="1" outlineLevel="1">
      <c r="A178" s="932"/>
      <c r="B178" s="1086">
        <v>56</v>
      </c>
      <c r="C178" s="1095"/>
      <c r="D178" s="1091"/>
      <c r="E178" s="1091" t="s">
        <v>20</v>
      </c>
      <c r="F178" s="1093" t="str">
        <f>VLOOKUP(E178,$N$13:$O$17,2,0)</f>
        <v>-</v>
      </c>
      <c r="G178" s="95"/>
      <c r="H178" s="93"/>
      <c r="I178" s="1091"/>
      <c r="J178" s="1083"/>
      <c r="K178" s="1083"/>
      <c r="L178" s="932"/>
      <c r="M178" s="932"/>
    </row>
    <row r="179" spans="1:13" s="106" customFormat="1" ht="15.75" hidden="1" customHeight="1" outlineLevel="1">
      <c r="A179" s="932"/>
      <c r="B179" s="1086"/>
      <c r="C179" s="1095"/>
      <c r="D179" s="1091"/>
      <c r="E179" s="1091"/>
      <c r="F179" s="1093"/>
      <c r="G179" s="98"/>
      <c r="H179" s="93"/>
      <c r="I179" s="1091"/>
      <c r="J179" s="1084"/>
      <c r="K179" s="1084"/>
      <c r="L179" s="932"/>
      <c r="M179" s="932"/>
    </row>
    <row r="180" spans="1:13" s="106" customFormat="1" ht="15.75" hidden="1" customHeight="1" outlineLevel="1">
      <c r="A180" s="932"/>
      <c r="B180" s="1087"/>
      <c r="C180" s="1096"/>
      <c r="D180" s="1092"/>
      <c r="E180" s="1092"/>
      <c r="F180" s="1094"/>
      <c r="G180" s="103"/>
      <c r="H180" s="101"/>
      <c r="I180" s="1092"/>
      <c r="J180" s="1085"/>
      <c r="K180" s="1085"/>
      <c r="L180" s="932"/>
      <c r="M180" s="932"/>
    </row>
    <row r="181" spans="1:13" s="106" customFormat="1" ht="15.75" hidden="1" customHeight="1" outlineLevel="1">
      <c r="A181" s="932"/>
      <c r="B181" s="1086">
        <v>57</v>
      </c>
      <c r="C181" s="1095"/>
      <c r="D181" s="1091"/>
      <c r="E181" s="1091" t="s">
        <v>20</v>
      </c>
      <c r="F181" s="1093" t="str">
        <f>VLOOKUP(E181,$N$13:$O$17,2,0)</f>
        <v>-</v>
      </c>
      <c r="G181" s="95"/>
      <c r="H181" s="93"/>
      <c r="I181" s="1091"/>
      <c r="J181" s="1083"/>
      <c r="K181" s="1083"/>
      <c r="L181" s="932"/>
      <c r="M181" s="932"/>
    </row>
    <row r="182" spans="1:13" s="106" customFormat="1" ht="15.75" hidden="1" customHeight="1" outlineLevel="1">
      <c r="A182" s="932"/>
      <c r="B182" s="1086"/>
      <c r="C182" s="1095"/>
      <c r="D182" s="1091"/>
      <c r="E182" s="1091"/>
      <c r="F182" s="1093"/>
      <c r="G182" s="98"/>
      <c r="H182" s="93"/>
      <c r="I182" s="1091"/>
      <c r="J182" s="1084"/>
      <c r="K182" s="1084"/>
      <c r="L182" s="932"/>
      <c r="M182" s="932"/>
    </row>
    <row r="183" spans="1:13" s="106" customFormat="1" ht="15.75" hidden="1" customHeight="1" outlineLevel="1">
      <c r="A183" s="932"/>
      <c r="B183" s="1087"/>
      <c r="C183" s="1096"/>
      <c r="D183" s="1092"/>
      <c r="E183" s="1092"/>
      <c r="F183" s="1094"/>
      <c r="G183" s="103"/>
      <c r="H183" s="101"/>
      <c r="I183" s="1092"/>
      <c r="J183" s="1085"/>
      <c r="K183" s="1085"/>
      <c r="L183" s="932"/>
      <c r="M183" s="932"/>
    </row>
    <row r="184" spans="1:13" s="106" customFormat="1" ht="15.75" hidden="1" customHeight="1" outlineLevel="1">
      <c r="A184" s="932"/>
      <c r="B184" s="1086">
        <v>58</v>
      </c>
      <c r="C184" s="1095"/>
      <c r="D184" s="1091"/>
      <c r="E184" s="1091" t="s">
        <v>20</v>
      </c>
      <c r="F184" s="1093" t="str">
        <f>VLOOKUP(E184,$N$13:$O$17,2,0)</f>
        <v>-</v>
      </c>
      <c r="G184" s="95"/>
      <c r="H184" s="93"/>
      <c r="I184" s="1091"/>
      <c r="J184" s="1083"/>
      <c r="K184" s="1083"/>
      <c r="L184" s="932"/>
      <c r="M184" s="932"/>
    </row>
    <row r="185" spans="1:13" s="106" customFormat="1" ht="15.75" hidden="1" customHeight="1" outlineLevel="1">
      <c r="A185" s="932"/>
      <c r="B185" s="1086"/>
      <c r="C185" s="1095"/>
      <c r="D185" s="1091"/>
      <c r="E185" s="1091"/>
      <c r="F185" s="1093"/>
      <c r="G185" s="98"/>
      <c r="H185" s="93"/>
      <c r="I185" s="1091"/>
      <c r="J185" s="1084"/>
      <c r="K185" s="1084"/>
      <c r="L185" s="932"/>
      <c r="M185" s="932"/>
    </row>
    <row r="186" spans="1:13" s="106" customFormat="1" ht="15.75" hidden="1" customHeight="1" outlineLevel="1">
      <c r="A186" s="932"/>
      <c r="B186" s="1087"/>
      <c r="C186" s="1096"/>
      <c r="D186" s="1092"/>
      <c r="E186" s="1092"/>
      <c r="F186" s="1094"/>
      <c r="G186" s="103"/>
      <c r="H186" s="101"/>
      <c r="I186" s="1092"/>
      <c r="J186" s="1085"/>
      <c r="K186" s="1085"/>
      <c r="L186" s="932"/>
      <c r="M186" s="932"/>
    </row>
    <row r="187" spans="1:13" s="106" customFormat="1" ht="15.75" hidden="1" customHeight="1" outlineLevel="1">
      <c r="A187" s="932"/>
      <c r="B187" s="1086">
        <v>59</v>
      </c>
      <c r="C187" s="1095"/>
      <c r="D187" s="1091"/>
      <c r="E187" s="1091" t="s">
        <v>20</v>
      </c>
      <c r="F187" s="1093" t="str">
        <f>VLOOKUP(E187,$N$13:$O$17,2,0)</f>
        <v>-</v>
      </c>
      <c r="G187" s="95"/>
      <c r="H187" s="93"/>
      <c r="I187" s="1091"/>
      <c r="J187" s="1083"/>
      <c r="K187" s="1083"/>
      <c r="L187" s="932"/>
      <c r="M187" s="932"/>
    </row>
    <row r="188" spans="1:13" s="106" customFormat="1" ht="15.75" hidden="1" customHeight="1" outlineLevel="1">
      <c r="A188" s="932"/>
      <c r="B188" s="1086"/>
      <c r="C188" s="1095"/>
      <c r="D188" s="1091"/>
      <c r="E188" s="1091"/>
      <c r="F188" s="1093"/>
      <c r="G188" s="98"/>
      <c r="H188" s="93"/>
      <c r="I188" s="1091"/>
      <c r="J188" s="1084"/>
      <c r="K188" s="1084"/>
      <c r="L188" s="932"/>
      <c r="M188" s="932"/>
    </row>
    <row r="189" spans="1:13" s="106" customFormat="1" ht="15.75" hidden="1" customHeight="1" outlineLevel="1">
      <c r="A189" s="932"/>
      <c r="B189" s="1087"/>
      <c r="C189" s="1096"/>
      <c r="D189" s="1092"/>
      <c r="E189" s="1092"/>
      <c r="F189" s="1094"/>
      <c r="G189" s="103"/>
      <c r="H189" s="101"/>
      <c r="I189" s="1092"/>
      <c r="J189" s="1085"/>
      <c r="K189" s="1085"/>
      <c r="L189" s="932"/>
      <c r="M189" s="932"/>
    </row>
    <row r="190" spans="1:13" s="106" customFormat="1" ht="15.75" hidden="1" customHeight="1" outlineLevel="1">
      <c r="A190" s="932"/>
      <c r="B190" s="1086">
        <v>60</v>
      </c>
      <c r="C190" s="1095"/>
      <c r="D190" s="1091"/>
      <c r="E190" s="1091" t="s">
        <v>20</v>
      </c>
      <c r="F190" s="1093" t="str">
        <f>VLOOKUP(E190,$N$13:$O$17,2,0)</f>
        <v>-</v>
      </c>
      <c r="G190" s="95"/>
      <c r="H190" s="93"/>
      <c r="I190" s="1091"/>
      <c r="J190" s="1083"/>
      <c r="K190" s="1083"/>
      <c r="L190" s="932"/>
      <c r="M190" s="932"/>
    </row>
    <row r="191" spans="1:13" s="106" customFormat="1" ht="15.75" hidden="1" customHeight="1" outlineLevel="1">
      <c r="A191" s="932"/>
      <c r="B191" s="1086"/>
      <c r="C191" s="1095"/>
      <c r="D191" s="1091"/>
      <c r="E191" s="1091"/>
      <c r="F191" s="1093"/>
      <c r="G191" s="98"/>
      <c r="H191" s="93"/>
      <c r="I191" s="1091"/>
      <c r="J191" s="1084"/>
      <c r="K191" s="1084"/>
      <c r="L191" s="932"/>
      <c r="M191" s="932"/>
    </row>
    <row r="192" spans="1:13" s="106" customFormat="1" ht="15.75" hidden="1" customHeight="1" outlineLevel="1">
      <c r="A192" s="932"/>
      <c r="B192" s="1087"/>
      <c r="C192" s="1096"/>
      <c r="D192" s="1092"/>
      <c r="E192" s="1092"/>
      <c r="F192" s="1094"/>
      <c r="G192" s="103"/>
      <c r="H192" s="101"/>
      <c r="I192" s="1092"/>
      <c r="J192" s="1085"/>
      <c r="K192" s="1085"/>
      <c r="L192" s="932"/>
      <c r="M192" s="932"/>
    </row>
    <row r="193" spans="1:13" s="106" customFormat="1" ht="15.75" hidden="1" customHeight="1" outlineLevel="1">
      <c r="A193" s="932"/>
      <c r="B193" s="1086">
        <v>61</v>
      </c>
      <c r="C193" s="1095"/>
      <c r="D193" s="1091"/>
      <c r="E193" s="1091" t="s">
        <v>20</v>
      </c>
      <c r="F193" s="1093" t="str">
        <f>VLOOKUP(E193,$N$13:$O$17,2,0)</f>
        <v>-</v>
      </c>
      <c r="G193" s="95"/>
      <c r="H193" s="93"/>
      <c r="I193" s="1091"/>
      <c r="J193" s="1083"/>
      <c r="K193" s="1083"/>
      <c r="L193" s="932"/>
      <c r="M193" s="932"/>
    </row>
    <row r="194" spans="1:13" s="106" customFormat="1" ht="15.75" hidden="1" customHeight="1" outlineLevel="1">
      <c r="A194" s="932"/>
      <c r="B194" s="1086"/>
      <c r="C194" s="1095"/>
      <c r="D194" s="1091"/>
      <c r="E194" s="1091"/>
      <c r="F194" s="1093"/>
      <c r="G194" s="98"/>
      <c r="H194" s="93"/>
      <c r="I194" s="1091"/>
      <c r="J194" s="1084"/>
      <c r="K194" s="1084"/>
      <c r="L194" s="932"/>
      <c r="M194" s="932"/>
    </row>
    <row r="195" spans="1:13" s="106" customFormat="1" ht="15.75" hidden="1" customHeight="1" outlineLevel="1">
      <c r="A195" s="932"/>
      <c r="B195" s="1087"/>
      <c r="C195" s="1096"/>
      <c r="D195" s="1092"/>
      <c r="E195" s="1092"/>
      <c r="F195" s="1094"/>
      <c r="G195" s="103"/>
      <c r="H195" s="101"/>
      <c r="I195" s="1092"/>
      <c r="J195" s="1085"/>
      <c r="K195" s="1085"/>
      <c r="L195" s="932"/>
      <c r="M195" s="932"/>
    </row>
    <row r="196" spans="1:13" s="106" customFormat="1" ht="15.75" hidden="1" customHeight="1" outlineLevel="1">
      <c r="A196" s="932"/>
      <c r="B196" s="1086">
        <v>62</v>
      </c>
      <c r="C196" s="1095"/>
      <c r="D196" s="1091"/>
      <c r="E196" s="1091" t="s">
        <v>20</v>
      </c>
      <c r="F196" s="1093" t="str">
        <f>VLOOKUP(E196,$N$13:$O$17,2,0)</f>
        <v>-</v>
      </c>
      <c r="G196" s="95"/>
      <c r="H196" s="93"/>
      <c r="I196" s="1091"/>
      <c r="J196" s="1083"/>
      <c r="K196" s="1083"/>
      <c r="L196" s="932"/>
      <c r="M196" s="932"/>
    </row>
    <row r="197" spans="1:13" s="106" customFormat="1" ht="15.75" hidden="1" customHeight="1" outlineLevel="1">
      <c r="A197" s="932"/>
      <c r="B197" s="1086"/>
      <c r="C197" s="1095"/>
      <c r="D197" s="1091"/>
      <c r="E197" s="1091"/>
      <c r="F197" s="1093"/>
      <c r="G197" s="98"/>
      <c r="H197" s="93"/>
      <c r="I197" s="1091"/>
      <c r="J197" s="1084"/>
      <c r="K197" s="1084"/>
      <c r="L197" s="932"/>
      <c r="M197" s="932"/>
    </row>
    <row r="198" spans="1:13" s="106" customFormat="1" ht="15.75" hidden="1" customHeight="1" outlineLevel="1">
      <c r="A198" s="932"/>
      <c r="B198" s="1087"/>
      <c r="C198" s="1096"/>
      <c r="D198" s="1092"/>
      <c r="E198" s="1092"/>
      <c r="F198" s="1094"/>
      <c r="G198" s="103"/>
      <c r="H198" s="101"/>
      <c r="I198" s="1092"/>
      <c r="J198" s="1085"/>
      <c r="K198" s="1085"/>
      <c r="L198" s="932"/>
      <c r="M198" s="932"/>
    </row>
    <row r="199" spans="1:13" s="106" customFormat="1" ht="15.75" hidden="1" customHeight="1" outlineLevel="1">
      <c r="A199" s="932"/>
      <c r="B199" s="1086">
        <v>63</v>
      </c>
      <c r="C199" s="1095"/>
      <c r="D199" s="1091"/>
      <c r="E199" s="1091" t="s">
        <v>20</v>
      </c>
      <c r="F199" s="1093" t="str">
        <f>VLOOKUP(E199,$N$13:$O$17,2,0)</f>
        <v>-</v>
      </c>
      <c r="G199" s="95"/>
      <c r="H199" s="93"/>
      <c r="I199" s="1091"/>
      <c r="J199" s="1083"/>
      <c r="K199" s="1083"/>
      <c r="L199" s="932"/>
      <c r="M199" s="932"/>
    </row>
    <row r="200" spans="1:13" s="106" customFormat="1" ht="15.75" hidden="1" customHeight="1" outlineLevel="1">
      <c r="A200" s="932"/>
      <c r="B200" s="1086"/>
      <c r="C200" s="1095"/>
      <c r="D200" s="1091"/>
      <c r="E200" s="1091"/>
      <c r="F200" s="1093"/>
      <c r="G200" s="98"/>
      <c r="H200" s="93"/>
      <c r="I200" s="1091"/>
      <c r="J200" s="1084"/>
      <c r="K200" s="1084"/>
      <c r="L200" s="932"/>
      <c r="M200" s="932"/>
    </row>
    <row r="201" spans="1:13" s="106" customFormat="1" ht="15.75" hidden="1" customHeight="1" outlineLevel="1">
      <c r="A201" s="932"/>
      <c r="B201" s="1087"/>
      <c r="C201" s="1096"/>
      <c r="D201" s="1092"/>
      <c r="E201" s="1092"/>
      <c r="F201" s="1094"/>
      <c r="G201" s="103"/>
      <c r="H201" s="101"/>
      <c r="I201" s="1092"/>
      <c r="J201" s="1085"/>
      <c r="K201" s="1085"/>
      <c r="L201" s="932"/>
      <c r="M201" s="932"/>
    </row>
    <row r="202" spans="1:13" s="106" customFormat="1" ht="15.75" hidden="1" customHeight="1" outlineLevel="1">
      <c r="A202" s="932"/>
      <c r="B202" s="1086">
        <v>64</v>
      </c>
      <c r="C202" s="1095"/>
      <c r="D202" s="1091"/>
      <c r="E202" s="1091" t="s">
        <v>20</v>
      </c>
      <c r="F202" s="1093" t="str">
        <f>VLOOKUP(E202,$N$13:$O$17,2,0)</f>
        <v>-</v>
      </c>
      <c r="G202" s="95"/>
      <c r="H202" s="93"/>
      <c r="I202" s="1091"/>
      <c r="J202" s="1083"/>
      <c r="K202" s="1083"/>
      <c r="L202" s="932"/>
      <c r="M202" s="932"/>
    </row>
    <row r="203" spans="1:13" s="106" customFormat="1" ht="15.75" hidden="1" customHeight="1" outlineLevel="1">
      <c r="A203" s="932"/>
      <c r="B203" s="1086"/>
      <c r="C203" s="1095"/>
      <c r="D203" s="1091"/>
      <c r="E203" s="1091"/>
      <c r="F203" s="1093"/>
      <c r="G203" s="98"/>
      <c r="H203" s="93"/>
      <c r="I203" s="1091"/>
      <c r="J203" s="1084"/>
      <c r="K203" s="1084"/>
      <c r="L203" s="932"/>
      <c r="M203" s="932"/>
    </row>
    <row r="204" spans="1:13" s="106" customFormat="1" ht="15.75" hidden="1" customHeight="1" outlineLevel="1">
      <c r="A204" s="932"/>
      <c r="B204" s="1087"/>
      <c r="C204" s="1096"/>
      <c r="D204" s="1092"/>
      <c r="E204" s="1092"/>
      <c r="F204" s="1094"/>
      <c r="G204" s="103"/>
      <c r="H204" s="101"/>
      <c r="I204" s="1092"/>
      <c r="J204" s="1085"/>
      <c r="K204" s="1085"/>
      <c r="L204" s="932"/>
      <c r="M204" s="932"/>
    </row>
    <row r="205" spans="1:13" s="106" customFormat="1" ht="15.75" hidden="1" customHeight="1" outlineLevel="1">
      <c r="A205" s="932"/>
      <c r="B205" s="1086">
        <v>65</v>
      </c>
      <c r="C205" s="1095"/>
      <c r="D205" s="1091"/>
      <c r="E205" s="1091" t="s">
        <v>20</v>
      </c>
      <c r="F205" s="1093" t="str">
        <f>VLOOKUP(E205,$N$13:$O$17,2,0)</f>
        <v>-</v>
      </c>
      <c r="G205" s="95"/>
      <c r="H205" s="93"/>
      <c r="I205" s="1091"/>
      <c r="J205" s="1083"/>
      <c r="K205" s="1083"/>
      <c r="L205" s="932"/>
      <c r="M205" s="932"/>
    </row>
    <row r="206" spans="1:13" s="106" customFormat="1" ht="15.75" hidden="1" customHeight="1" outlineLevel="1">
      <c r="A206" s="932"/>
      <c r="B206" s="1086"/>
      <c r="C206" s="1095"/>
      <c r="D206" s="1091"/>
      <c r="E206" s="1091"/>
      <c r="F206" s="1093"/>
      <c r="G206" s="98"/>
      <c r="H206" s="93"/>
      <c r="I206" s="1091"/>
      <c r="J206" s="1084"/>
      <c r="K206" s="1084"/>
      <c r="L206" s="932"/>
      <c r="M206" s="932"/>
    </row>
    <row r="207" spans="1:13" s="106" customFormat="1" ht="15.75" hidden="1" customHeight="1" outlineLevel="1">
      <c r="A207" s="932"/>
      <c r="B207" s="1087"/>
      <c r="C207" s="1096"/>
      <c r="D207" s="1092"/>
      <c r="E207" s="1092"/>
      <c r="F207" s="1094"/>
      <c r="G207" s="103"/>
      <c r="H207" s="101"/>
      <c r="I207" s="1092"/>
      <c r="J207" s="1085"/>
      <c r="K207" s="1085"/>
      <c r="L207" s="932"/>
      <c r="M207" s="932"/>
    </row>
    <row r="208" spans="1:13" s="106" customFormat="1" ht="15.75" hidden="1" customHeight="1" outlineLevel="1">
      <c r="A208" s="932"/>
      <c r="B208" s="1086">
        <v>66</v>
      </c>
      <c r="C208" s="1095"/>
      <c r="D208" s="1091"/>
      <c r="E208" s="1091" t="s">
        <v>20</v>
      </c>
      <c r="F208" s="1093" t="str">
        <f>VLOOKUP(E208,$N$13:$O$17,2,0)</f>
        <v>-</v>
      </c>
      <c r="G208" s="95"/>
      <c r="H208" s="93"/>
      <c r="I208" s="1091"/>
      <c r="J208" s="1083"/>
      <c r="K208" s="1083"/>
      <c r="L208" s="932"/>
      <c r="M208" s="932"/>
    </row>
    <row r="209" spans="1:13" s="106" customFormat="1" ht="15.75" hidden="1" customHeight="1" outlineLevel="1">
      <c r="A209" s="932"/>
      <c r="B209" s="1086"/>
      <c r="C209" s="1095"/>
      <c r="D209" s="1091"/>
      <c r="E209" s="1091"/>
      <c r="F209" s="1093"/>
      <c r="G209" s="98"/>
      <c r="H209" s="93"/>
      <c r="I209" s="1091"/>
      <c r="J209" s="1084"/>
      <c r="K209" s="1084"/>
      <c r="L209" s="932"/>
      <c r="M209" s="932"/>
    </row>
    <row r="210" spans="1:13" s="106" customFormat="1" ht="15.75" hidden="1" customHeight="1" outlineLevel="1">
      <c r="A210" s="932"/>
      <c r="B210" s="1087"/>
      <c r="C210" s="1096"/>
      <c r="D210" s="1092"/>
      <c r="E210" s="1092"/>
      <c r="F210" s="1094"/>
      <c r="G210" s="103"/>
      <c r="H210" s="101"/>
      <c r="I210" s="1092"/>
      <c r="J210" s="1085"/>
      <c r="K210" s="1085"/>
      <c r="L210" s="932"/>
      <c r="M210" s="932"/>
    </row>
    <row r="211" spans="1:13" s="106" customFormat="1" ht="15.75" hidden="1" customHeight="1" outlineLevel="1">
      <c r="A211" s="932"/>
      <c r="B211" s="1086">
        <v>67</v>
      </c>
      <c r="C211" s="1095"/>
      <c r="D211" s="1091"/>
      <c r="E211" s="1091" t="s">
        <v>20</v>
      </c>
      <c r="F211" s="1093" t="str">
        <f>VLOOKUP(E211,$N$13:$O$17,2,0)</f>
        <v>-</v>
      </c>
      <c r="G211" s="95"/>
      <c r="H211" s="93"/>
      <c r="I211" s="1091"/>
      <c r="J211" s="1083"/>
      <c r="K211" s="1083"/>
      <c r="L211" s="932"/>
      <c r="M211" s="932"/>
    </row>
    <row r="212" spans="1:13" s="106" customFormat="1" ht="15.75" hidden="1" customHeight="1" outlineLevel="1">
      <c r="A212" s="932"/>
      <c r="B212" s="1086"/>
      <c r="C212" s="1095"/>
      <c r="D212" s="1091"/>
      <c r="E212" s="1091"/>
      <c r="F212" s="1093"/>
      <c r="G212" s="98"/>
      <c r="H212" s="93"/>
      <c r="I212" s="1091"/>
      <c r="J212" s="1084"/>
      <c r="K212" s="1084"/>
      <c r="L212" s="932"/>
      <c r="M212" s="932"/>
    </row>
    <row r="213" spans="1:13" s="106" customFormat="1" ht="15.75" hidden="1" customHeight="1" outlineLevel="1">
      <c r="A213" s="932"/>
      <c r="B213" s="1087"/>
      <c r="C213" s="1096"/>
      <c r="D213" s="1092"/>
      <c r="E213" s="1092"/>
      <c r="F213" s="1094"/>
      <c r="G213" s="103"/>
      <c r="H213" s="101"/>
      <c r="I213" s="1092"/>
      <c r="J213" s="1085"/>
      <c r="K213" s="1085"/>
      <c r="L213" s="932"/>
      <c r="M213" s="932"/>
    </row>
    <row r="214" spans="1:13" s="106" customFormat="1" ht="15.75" hidden="1" customHeight="1" outlineLevel="1">
      <c r="A214" s="932"/>
      <c r="B214" s="1086">
        <v>68</v>
      </c>
      <c r="C214" s="1095"/>
      <c r="D214" s="1091"/>
      <c r="E214" s="1091" t="s">
        <v>20</v>
      </c>
      <c r="F214" s="1093" t="str">
        <f>VLOOKUP(E214,$N$13:$O$17,2,0)</f>
        <v>-</v>
      </c>
      <c r="G214" s="95"/>
      <c r="H214" s="93"/>
      <c r="I214" s="1091"/>
      <c r="J214" s="1083"/>
      <c r="K214" s="1083"/>
      <c r="L214" s="932"/>
      <c r="M214" s="932"/>
    </row>
    <row r="215" spans="1:13" s="106" customFormat="1" ht="15.75" hidden="1" customHeight="1" outlineLevel="1">
      <c r="A215" s="932"/>
      <c r="B215" s="1086"/>
      <c r="C215" s="1095"/>
      <c r="D215" s="1091"/>
      <c r="E215" s="1091"/>
      <c r="F215" s="1093"/>
      <c r="G215" s="98"/>
      <c r="H215" s="93"/>
      <c r="I215" s="1091"/>
      <c r="J215" s="1084"/>
      <c r="K215" s="1084"/>
      <c r="L215" s="932"/>
      <c r="M215" s="932"/>
    </row>
    <row r="216" spans="1:13" s="106" customFormat="1" ht="15.75" hidden="1" customHeight="1" outlineLevel="1">
      <c r="A216" s="932"/>
      <c r="B216" s="1087"/>
      <c r="C216" s="1096"/>
      <c r="D216" s="1092"/>
      <c r="E216" s="1092"/>
      <c r="F216" s="1094"/>
      <c r="G216" s="103"/>
      <c r="H216" s="101"/>
      <c r="I216" s="1092"/>
      <c r="J216" s="1085"/>
      <c r="K216" s="1085"/>
      <c r="L216" s="932"/>
      <c r="M216" s="932"/>
    </row>
    <row r="217" spans="1:13" s="106" customFormat="1" ht="15.75" hidden="1" customHeight="1" outlineLevel="1">
      <c r="A217" s="932"/>
      <c r="B217" s="1086">
        <v>69</v>
      </c>
      <c r="C217" s="1095"/>
      <c r="D217" s="1091"/>
      <c r="E217" s="1091" t="s">
        <v>20</v>
      </c>
      <c r="F217" s="1093" t="str">
        <f>VLOOKUP(E217,$N$13:$O$17,2,0)</f>
        <v>-</v>
      </c>
      <c r="G217" s="95"/>
      <c r="H217" s="93"/>
      <c r="I217" s="1091"/>
      <c r="J217" s="1083"/>
      <c r="K217" s="1083"/>
      <c r="L217" s="932"/>
      <c r="M217" s="932"/>
    </row>
    <row r="218" spans="1:13" s="106" customFormat="1" ht="15.75" hidden="1" customHeight="1" outlineLevel="1">
      <c r="A218" s="932"/>
      <c r="B218" s="1086"/>
      <c r="C218" s="1095"/>
      <c r="D218" s="1091"/>
      <c r="E218" s="1091"/>
      <c r="F218" s="1093"/>
      <c r="G218" s="98"/>
      <c r="H218" s="93"/>
      <c r="I218" s="1091"/>
      <c r="J218" s="1084"/>
      <c r="K218" s="1084"/>
      <c r="L218" s="932"/>
      <c r="M218" s="932"/>
    </row>
    <row r="219" spans="1:13" s="106" customFormat="1" ht="15.75" hidden="1" customHeight="1" outlineLevel="1">
      <c r="A219" s="932"/>
      <c r="B219" s="1087"/>
      <c r="C219" s="1096"/>
      <c r="D219" s="1092"/>
      <c r="E219" s="1092"/>
      <c r="F219" s="1094"/>
      <c r="G219" s="103"/>
      <c r="H219" s="101"/>
      <c r="I219" s="1092"/>
      <c r="J219" s="1085"/>
      <c r="K219" s="1085"/>
      <c r="L219" s="932"/>
      <c r="M219" s="932"/>
    </row>
    <row r="220" spans="1:13" s="106" customFormat="1" ht="15.75" hidden="1" customHeight="1" outlineLevel="1">
      <c r="A220" s="932"/>
      <c r="B220" s="1086">
        <v>70</v>
      </c>
      <c r="C220" s="1095"/>
      <c r="D220" s="1091"/>
      <c r="E220" s="1091" t="s">
        <v>20</v>
      </c>
      <c r="F220" s="1093" t="str">
        <f>VLOOKUP(E220,$N$13:$O$17,2,0)</f>
        <v>-</v>
      </c>
      <c r="G220" s="95"/>
      <c r="H220" s="93"/>
      <c r="I220" s="1091"/>
      <c r="J220" s="1083"/>
      <c r="K220" s="1083"/>
      <c r="L220" s="932"/>
      <c r="M220" s="932"/>
    </row>
    <row r="221" spans="1:13" s="106" customFormat="1" ht="15.75" hidden="1" customHeight="1" outlineLevel="1">
      <c r="A221" s="932"/>
      <c r="B221" s="1086"/>
      <c r="C221" s="1095"/>
      <c r="D221" s="1091"/>
      <c r="E221" s="1091"/>
      <c r="F221" s="1093"/>
      <c r="G221" s="98"/>
      <c r="H221" s="93"/>
      <c r="I221" s="1091"/>
      <c r="J221" s="1084"/>
      <c r="K221" s="1084"/>
      <c r="L221" s="932"/>
      <c r="M221" s="932"/>
    </row>
    <row r="222" spans="1:13" s="106" customFormat="1" ht="15.75" hidden="1" customHeight="1" outlineLevel="1">
      <c r="A222" s="932"/>
      <c r="B222" s="1087"/>
      <c r="C222" s="1096"/>
      <c r="D222" s="1092"/>
      <c r="E222" s="1092"/>
      <c r="F222" s="1094"/>
      <c r="G222" s="103"/>
      <c r="H222" s="101"/>
      <c r="I222" s="1092"/>
      <c r="J222" s="1085"/>
      <c r="K222" s="1085"/>
      <c r="L222" s="932"/>
      <c r="M222" s="932"/>
    </row>
    <row r="223" spans="1:13" s="106" customFormat="1" ht="15.75" hidden="1" customHeight="1" outlineLevel="1">
      <c r="A223" s="932"/>
      <c r="B223" s="1086">
        <v>71</v>
      </c>
      <c r="C223" s="1095"/>
      <c r="D223" s="1091"/>
      <c r="E223" s="1091" t="s">
        <v>20</v>
      </c>
      <c r="F223" s="1093" t="str">
        <f>VLOOKUP(E223,$N$13:$O$17,2,0)</f>
        <v>-</v>
      </c>
      <c r="G223" s="95"/>
      <c r="H223" s="93"/>
      <c r="I223" s="1091"/>
      <c r="J223" s="1083"/>
      <c r="K223" s="1083"/>
      <c r="L223" s="932"/>
      <c r="M223" s="932"/>
    </row>
    <row r="224" spans="1:13" s="106" customFormat="1" ht="15.75" hidden="1" customHeight="1" outlineLevel="1">
      <c r="A224" s="932"/>
      <c r="B224" s="1086"/>
      <c r="C224" s="1095"/>
      <c r="D224" s="1091"/>
      <c r="E224" s="1091"/>
      <c r="F224" s="1093"/>
      <c r="G224" s="98"/>
      <c r="H224" s="93"/>
      <c r="I224" s="1091"/>
      <c r="J224" s="1084"/>
      <c r="K224" s="1084"/>
      <c r="L224" s="932"/>
      <c r="M224" s="932"/>
    </row>
    <row r="225" spans="1:13" s="106" customFormat="1" ht="15.75" hidden="1" customHeight="1" outlineLevel="1">
      <c r="A225" s="932"/>
      <c r="B225" s="1087"/>
      <c r="C225" s="1096"/>
      <c r="D225" s="1092"/>
      <c r="E225" s="1092"/>
      <c r="F225" s="1094"/>
      <c r="G225" s="103"/>
      <c r="H225" s="101"/>
      <c r="I225" s="1092"/>
      <c r="J225" s="1085"/>
      <c r="K225" s="1085"/>
      <c r="L225" s="932"/>
      <c r="M225" s="932"/>
    </row>
    <row r="226" spans="1:13" s="106" customFormat="1" ht="15.75" hidden="1" customHeight="1" outlineLevel="1">
      <c r="A226" s="932"/>
      <c r="B226" s="1086">
        <v>72</v>
      </c>
      <c r="C226" s="1095"/>
      <c r="D226" s="1091"/>
      <c r="E226" s="1091" t="s">
        <v>20</v>
      </c>
      <c r="F226" s="1093" t="str">
        <f>VLOOKUP(E226,$N$13:$O$17,2,0)</f>
        <v>-</v>
      </c>
      <c r="G226" s="95"/>
      <c r="H226" s="93"/>
      <c r="I226" s="1091"/>
      <c r="J226" s="1083"/>
      <c r="K226" s="1083"/>
      <c r="L226" s="932"/>
      <c r="M226" s="932"/>
    </row>
    <row r="227" spans="1:13" s="106" customFormat="1" ht="15.75" hidden="1" customHeight="1" outlineLevel="1">
      <c r="A227" s="932"/>
      <c r="B227" s="1086"/>
      <c r="C227" s="1095"/>
      <c r="D227" s="1091"/>
      <c r="E227" s="1091"/>
      <c r="F227" s="1093"/>
      <c r="G227" s="98"/>
      <c r="H227" s="93"/>
      <c r="I227" s="1091"/>
      <c r="J227" s="1084"/>
      <c r="K227" s="1084"/>
      <c r="L227" s="932"/>
      <c r="M227" s="932"/>
    </row>
    <row r="228" spans="1:13" s="106" customFormat="1" ht="15.75" hidden="1" customHeight="1" outlineLevel="1">
      <c r="A228" s="932"/>
      <c r="B228" s="1087"/>
      <c r="C228" s="1096"/>
      <c r="D228" s="1092"/>
      <c r="E228" s="1092"/>
      <c r="F228" s="1094"/>
      <c r="G228" s="103"/>
      <c r="H228" s="101"/>
      <c r="I228" s="1092"/>
      <c r="J228" s="1085"/>
      <c r="K228" s="1085"/>
      <c r="L228" s="932"/>
      <c r="M228" s="932"/>
    </row>
    <row r="229" spans="1:13" s="106" customFormat="1" ht="15.75" hidden="1" customHeight="1" outlineLevel="1">
      <c r="A229" s="932"/>
      <c r="B229" s="1086">
        <v>73</v>
      </c>
      <c r="C229" s="1095"/>
      <c r="D229" s="1091"/>
      <c r="E229" s="1091" t="s">
        <v>20</v>
      </c>
      <c r="F229" s="1093" t="str">
        <f>VLOOKUP(E229,$N$13:$O$17,2,0)</f>
        <v>-</v>
      </c>
      <c r="G229" s="95"/>
      <c r="H229" s="93"/>
      <c r="I229" s="1091"/>
      <c r="J229" s="1083"/>
      <c r="K229" s="1083"/>
      <c r="L229" s="932"/>
      <c r="M229" s="932"/>
    </row>
    <row r="230" spans="1:13" s="106" customFormat="1" ht="15.75" hidden="1" customHeight="1" outlineLevel="1">
      <c r="A230" s="932"/>
      <c r="B230" s="1086"/>
      <c r="C230" s="1095"/>
      <c r="D230" s="1091"/>
      <c r="E230" s="1091"/>
      <c r="F230" s="1093"/>
      <c r="G230" s="98"/>
      <c r="H230" s="93"/>
      <c r="I230" s="1091"/>
      <c r="J230" s="1084"/>
      <c r="K230" s="1084"/>
      <c r="L230" s="932"/>
      <c r="M230" s="932"/>
    </row>
    <row r="231" spans="1:13" s="106" customFormat="1" ht="15.75" hidden="1" customHeight="1" outlineLevel="1">
      <c r="A231" s="932"/>
      <c r="B231" s="1087"/>
      <c r="C231" s="1096"/>
      <c r="D231" s="1092"/>
      <c r="E231" s="1092"/>
      <c r="F231" s="1094"/>
      <c r="G231" s="103"/>
      <c r="H231" s="101"/>
      <c r="I231" s="1092"/>
      <c r="J231" s="1085"/>
      <c r="K231" s="1085"/>
      <c r="L231" s="932"/>
      <c r="M231" s="932"/>
    </row>
    <row r="232" spans="1:13" s="106" customFormat="1" ht="15.75" hidden="1" customHeight="1" outlineLevel="1">
      <c r="A232" s="932"/>
      <c r="B232" s="1086">
        <v>74</v>
      </c>
      <c r="C232" s="1095"/>
      <c r="D232" s="1091"/>
      <c r="E232" s="1091" t="s">
        <v>20</v>
      </c>
      <c r="F232" s="1093" t="str">
        <f>VLOOKUP(E232,$N$13:$O$17,2,0)</f>
        <v>-</v>
      </c>
      <c r="G232" s="95"/>
      <c r="H232" s="93"/>
      <c r="I232" s="1091"/>
      <c r="J232" s="1083"/>
      <c r="K232" s="1083"/>
      <c r="L232" s="932"/>
      <c r="M232" s="932"/>
    </row>
    <row r="233" spans="1:13" s="106" customFormat="1" ht="15.75" hidden="1" customHeight="1" outlineLevel="1">
      <c r="A233" s="932"/>
      <c r="B233" s="1086"/>
      <c r="C233" s="1095"/>
      <c r="D233" s="1091"/>
      <c r="E233" s="1091"/>
      <c r="F233" s="1093"/>
      <c r="G233" s="98"/>
      <c r="H233" s="93"/>
      <c r="I233" s="1091"/>
      <c r="J233" s="1084"/>
      <c r="K233" s="1084"/>
      <c r="L233" s="932"/>
      <c r="M233" s="932"/>
    </row>
    <row r="234" spans="1:13" s="106" customFormat="1" ht="15.75" hidden="1" customHeight="1" outlineLevel="1">
      <c r="A234" s="932"/>
      <c r="B234" s="1087"/>
      <c r="C234" s="1096"/>
      <c r="D234" s="1092"/>
      <c r="E234" s="1092"/>
      <c r="F234" s="1094"/>
      <c r="G234" s="103"/>
      <c r="H234" s="101"/>
      <c r="I234" s="1092"/>
      <c r="J234" s="1085"/>
      <c r="K234" s="1085"/>
      <c r="L234" s="932"/>
      <c r="M234" s="932"/>
    </row>
    <row r="235" spans="1:13" s="106" customFormat="1" ht="15.75" hidden="1" customHeight="1" outlineLevel="1">
      <c r="A235" s="932"/>
      <c r="B235" s="1086">
        <v>75</v>
      </c>
      <c r="C235" s="1095"/>
      <c r="D235" s="1091"/>
      <c r="E235" s="1091" t="s">
        <v>20</v>
      </c>
      <c r="F235" s="1093" t="str">
        <f>VLOOKUP(E235,$N$13:$O$17,2,0)</f>
        <v>-</v>
      </c>
      <c r="G235" s="95"/>
      <c r="H235" s="93"/>
      <c r="I235" s="1091"/>
      <c r="J235" s="1083"/>
      <c r="K235" s="1083"/>
      <c r="L235" s="932"/>
      <c r="M235" s="932"/>
    </row>
    <row r="236" spans="1:13" s="106" customFormat="1" ht="15.75" hidden="1" customHeight="1" outlineLevel="1">
      <c r="A236" s="932"/>
      <c r="B236" s="1086"/>
      <c r="C236" s="1095"/>
      <c r="D236" s="1091"/>
      <c r="E236" s="1091"/>
      <c r="F236" s="1093"/>
      <c r="G236" s="98"/>
      <c r="H236" s="93"/>
      <c r="I236" s="1091"/>
      <c r="J236" s="1084"/>
      <c r="K236" s="1084"/>
      <c r="L236" s="932"/>
      <c r="M236" s="932"/>
    </row>
    <row r="237" spans="1:13" s="106" customFormat="1" ht="15.75" hidden="1" customHeight="1" outlineLevel="1">
      <c r="A237" s="932"/>
      <c r="B237" s="1087"/>
      <c r="C237" s="1096"/>
      <c r="D237" s="1092"/>
      <c r="E237" s="1092"/>
      <c r="F237" s="1094"/>
      <c r="G237" s="103"/>
      <c r="H237" s="101"/>
      <c r="I237" s="1092"/>
      <c r="J237" s="1085"/>
      <c r="K237" s="1085"/>
      <c r="L237" s="932"/>
      <c r="M237" s="932"/>
    </row>
    <row r="238" spans="1:13" s="106" customFormat="1" ht="15.75" hidden="1" customHeight="1" outlineLevel="1">
      <c r="A238" s="932"/>
      <c r="B238" s="1086">
        <v>76</v>
      </c>
      <c r="C238" s="1095"/>
      <c r="D238" s="1091"/>
      <c r="E238" s="1091" t="s">
        <v>20</v>
      </c>
      <c r="F238" s="1093" t="str">
        <f>VLOOKUP(E238,$N$13:$O$17,2,0)</f>
        <v>-</v>
      </c>
      <c r="G238" s="95"/>
      <c r="H238" s="93"/>
      <c r="I238" s="1091"/>
      <c r="J238" s="1083"/>
      <c r="K238" s="1083"/>
      <c r="L238" s="932"/>
      <c r="M238" s="932"/>
    </row>
    <row r="239" spans="1:13" s="106" customFormat="1" ht="15.75" hidden="1" customHeight="1" outlineLevel="1">
      <c r="A239" s="932"/>
      <c r="B239" s="1086"/>
      <c r="C239" s="1095"/>
      <c r="D239" s="1091"/>
      <c r="E239" s="1091"/>
      <c r="F239" s="1093"/>
      <c r="G239" s="98"/>
      <c r="H239" s="93"/>
      <c r="I239" s="1091"/>
      <c r="J239" s="1084"/>
      <c r="K239" s="1084"/>
      <c r="L239" s="932"/>
      <c r="M239" s="932"/>
    </row>
    <row r="240" spans="1:13" s="106" customFormat="1" ht="15.75" hidden="1" customHeight="1" outlineLevel="1">
      <c r="A240" s="932"/>
      <c r="B240" s="1087"/>
      <c r="C240" s="1096"/>
      <c r="D240" s="1092"/>
      <c r="E240" s="1092"/>
      <c r="F240" s="1094"/>
      <c r="G240" s="103"/>
      <c r="H240" s="101"/>
      <c r="I240" s="1092"/>
      <c r="J240" s="1085"/>
      <c r="K240" s="1085"/>
      <c r="L240" s="932"/>
      <c r="M240" s="932"/>
    </row>
    <row r="241" spans="1:13" s="106" customFormat="1" ht="15.75" hidden="1" customHeight="1" outlineLevel="1">
      <c r="A241" s="932"/>
      <c r="B241" s="1086">
        <v>77</v>
      </c>
      <c r="C241" s="1095"/>
      <c r="D241" s="1091"/>
      <c r="E241" s="1091" t="s">
        <v>20</v>
      </c>
      <c r="F241" s="1093" t="str">
        <f>VLOOKUP(E241,$N$13:$O$17,2,0)</f>
        <v>-</v>
      </c>
      <c r="G241" s="95"/>
      <c r="H241" s="93"/>
      <c r="I241" s="1091"/>
      <c r="J241" s="1083"/>
      <c r="K241" s="1083"/>
      <c r="L241" s="932"/>
      <c r="M241" s="932"/>
    </row>
    <row r="242" spans="1:13" s="106" customFormat="1" ht="15.75" hidden="1" customHeight="1" outlineLevel="1">
      <c r="A242" s="932"/>
      <c r="B242" s="1086"/>
      <c r="C242" s="1095"/>
      <c r="D242" s="1091"/>
      <c r="E242" s="1091"/>
      <c r="F242" s="1093"/>
      <c r="G242" s="98"/>
      <c r="H242" s="93"/>
      <c r="I242" s="1091"/>
      <c r="J242" s="1084"/>
      <c r="K242" s="1084"/>
      <c r="L242" s="932"/>
      <c r="M242" s="932"/>
    </row>
    <row r="243" spans="1:13" s="106" customFormat="1" ht="15.75" hidden="1" customHeight="1" outlineLevel="1">
      <c r="A243" s="932"/>
      <c r="B243" s="1087"/>
      <c r="C243" s="1096"/>
      <c r="D243" s="1092"/>
      <c r="E243" s="1092"/>
      <c r="F243" s="1094"/>
      <c r="G243" s="103"/>
      <c r="H243" s="101"/>
      <c r="I243" s="1092"/>
      <c r="J243" s="1085"/>
      <c r="K243" s="1085"/>
      <c r="L243" s="932"/>
      <c r="M243" s="932"/>
    </row>
    <row r="244" spans="1:13" s="106" customFormat="1" ht="15.75" hidden="1" customHeight="1" outlineLevel="1">
      <c r="A244" s="932"/>
      <c r="B244" s="1086">
        <v>78</v>
      </c>
      <c r="C244" s="1095"/>
      <c r="D244" s="1091"/>
      <c r="E244" s="1091" t="s">
        <v>20</v>
      </c>
      <c r="F244" s="1093" t="str">
        <f>VLOOKUP(E244,$N$13:$O$17,2,0)</f>
        <v>-</v>
      </c>
      <c r="G244" s="95"/>
      <c r="H244" s="93"/>
      <c r="I244" s="1091"/>
      <c r="J244" s="1083"/>
      <c r="K244" s="1083"/>
      <c r="L244" s="932"/>
      <c r="M244" s="932"/>
    </row>
    <row r="245" spans="1:13" s="106" customFormat="1" ht="15.75" hidden="1" customHeight="1" outlineLevel="1">
      <c r="A245" s="932"/>
      <c r="B245" s="1086"/>
      <c r="C245" s="1095"/>
      <c r="D245" s="1091"/>
      <c r="E245" s="1091"/>
      <c r="F245" s="1093"/>
      <c r="G245" s="98"/>
      <c r="H245" s="93"/>
      <c r="I245" s="1091"/>
      <c r="J245" s="1084"/>
      <c r="K245" s="1084"/>
      <c r="L245" s="932"/>
      <c r="M245" s="932"/>
    </row>
    <row r="246" spans="1:13" s="106" customFormat="1" ht="15.75" hidden="1" customHeight="1" outlineLevel="1">
      <c r="A246" s="932"/>
      <c r="B246" s="1087"/>
      <c r="C246" s="1096"/>
      <c r="D246" s="1092"/>
      <c r="E246" s="1092"/>
      <c r="F246" s="1094"/>
      <c r="G246" s="103"/>
      <c r="H246" s="101"/>
      <c r="I246" s="1092"/>
      <c r="J246" s="1085"/>
      <c r="K246" s="1085"/>
      <c r="L246" s="932"/>
      <c r="M246" s="932"/>
    </row>
    <row r="247" spans="1:13" s="106" customFormat="1" ht="15.75" hidden="1" customHeight="1" outlineLevel="1">
      <c r="A247" s="932"/>
      <c r="B247" s="1086">
        <v>79</v>
      </c>
      <c r="C247" s="1095"/>
      <c r="D247" s="1091"/>
      <c r="E247" s="1091" t="s">
        <v>20</v>
      </c>
      <c r="F247" s="1093" t="str">
        <f>VLOOKUP(E247,$N$13:$O$17,2,0)</f>
        <v>-</v>
      </c>
      <c r="G247" s="95"/>
      <c r="H247" s="93"/>
      <c r="I247" s="1091"/>
      <c r="J247" s="1083"/>
      <c r="K247" s="1083"/>
      <c r="L247" s="932"/>
      <c r="M247" s="932"/>
    </row>
    <row r="248" spans="1:13" s="106" customFormat="1" ht="15.75" hidden="1" customHeight="1" outlineLevel="1">
      <c r="A248" s="932"/>
      <c r="B248" s="1086"/>
      <c r="C248" s="1095"/>
      <c r="D248" s="1091"/>
      <c r="E248" s="1091"/>
      <c r="F248" s="1093"/>
      <c r="G248" s="98"/>
      <c r="H248" s="93"/>
      <c r="I248" s="1091"/>
      <c r="J248" s="1084"/>
      <c r="K248" s="1084"/>
      <c r="L248" s="932"/>
      <c r="M248" s="932"/>
    </row>
    <row r="249" spans="1:13" s="106" customFormat="1" ht="15.75" hidden="1" customHeight="1" outlineLevel="1">
      <c r="A249" s="932"/>
      <c r="B249" s="1087"/>
      <c r="C249" s="1096"/>
      <c r="D249" s="1092"/>
      <c r="E249" s="1092"/>
      <c r="F249" s="1094"/>
      <c r="G249" s="103"/>
      <c r="H249" s="101"/>
      <c r="I249" s="1092"/>
      <c r="J249" s="1085"/>
      <c r="K249" s="1085"/>
      <c r="L249" s="932"/>
      <c r="M249" s="932"/>
    </row>
    <row r="250" spans="1:13" s="106" customFormat="1" ht="15.75" hidden="1" customHeight="1" outlineLevel="1">
      <c r="A250" s="932"/>
      <c r="B250" s="1086">
        <v>80</v>
      </c>
      <c r="C250" s="1095"/>
      <c r="D250" s="1091"/>
      <c r="E250" s="1091" t="s">
        <v>20</v>
      </c>
      <c r="F250" s="1093" t="str">
        <f>VLOOKUP(E250,$N$13:$O$17,2,0)</f>
        <v>-</v>
      </c>
      <c r="G250" s="95"/>
      <c r="H250" s="93"/>
      <c r="I250" s="1091"/>
      <c r="J250" s="1083"/>
      <c r="K250" s="1083"/>
      <c r="L250" s="932"/>
      <c r="M250" s="932"/>
    </row>
    <row r="251" spans="1:13" s="106" customFormat="1" ht="15.75" hidden="1" customHeight="1" outlineLevel="1">
      <c r="A251" s="932"/>
      <c r="B251" s="1086"/>
      <c r="C251" s="1095"/>
      <c r="D251" s="1091"/>
      <c r="E251" s="1091"/>
      <c r="F251" s="1093"/>
      <c r="G251" s="98"/>
      <c r="H251" s="93"/>
      <c r="I251" s="1091"/>
      <c r="J251" s="1084"/>
      <c r="K251" s="1084"/>
      <c r="L251" s="932"/>
      <c r="M251" s="932"/>
    </row>
    <row r="252" spans="1:13" s="106" customFormat="1" ht="15.75" hidden="1" customHeight="1" outlineLevel="1">
      <c r="A252" s="932"/>
      <c r="B252" s="1087"/>
      <c r="C252" s="1096"/>
      <c r="D252" s="1092"/>
      <c r="E252" s="1092"/>
      <c r="F252" s="1094"/>
      <c r="G252" s="103"/>
      <c r="H252" s="101"/>
      <c r="I252" s="1092"/>
      <c r="J252" s="1085"/>
      <c r="K252" s="1085"/>
      <c r="L252" s="932"/>
      <c r="M252" s="932"/>
    </row>
    <row r="253" spans="1:13" s="106" customFormat="1" ht="15.75" hidden="1" customHeight="1" outlineLevel="1">
      <c r="A253" s="932"/>
      <c r="B253" s="1086">
        <v>81</v>
      </c>
      <c r="C253" s="1095"/>
      <c r="D253" s="1091"/>
      <c r="E253" s="1091" t="s">
        <v>20</v>
      </c>
      <c r="F253" s="1093" t="str">
        <f>VLOOKUP(E253,$N$13:$O$17,2,0)</f>
        <v>-</v>
      </c>
      <c r="G253" s="95"/>
      <c r="H253" s="93"/>
      <c r="I253" s="1091"/>
      <c r="J253" s="1083"/>
      <c r="K253" s="1083"/>
      <c r="L253" s="932"/>
      <c r="M253" s="932"/>
    </row>
    <row r="254" spans="1:13" s="106" customFormat="1" ht="15.75" hidden="1" customHeight="1" outlineLevel="1">
      <c r="A254" s="932"/>
      <c r="B254" s="1086"/>
      <c r="C254" s="1095"/>
      <c r="D254" s="1091"/>
      <c r="E254" s="1091"/>
      <c r="F254" s="1093"/>
      <c r="G254" s="98"/>
      <c r="H254" s="93"/>
      <c r="I254" s="1091"/>
      <c r="J254" s="1084"/>
      <c r="K254" s="1084"/>
      <c r="L254" s="932"/>
      <c r="M254" s="932"/>
    </row>
    <row r="255" spans="1:13" s="106" customFormat="1" ht="15.75" hidden="1" customHeight="1" outlineLevel="1">
      <c r="A255" s="932"/>
      <c r="B255" s="1087"/>
      <c r="C255" s="1096"/>
      <c r="D255" s="1092"/>
      <c r="E255" s="1092"/>
      <c r="F255" s="1094"/>
      <c r="G255" s="103"/>
      <c r="H255" s="101"/>
      <c r="I255" s="1092"/>
      <c r="J255" s="1085"/>
      <c r="K255" s="1085"/>
      <c r="L255" s="932"/>
      <c r="M255" s="932"/>
    </row>
    <row r="256" spans="1:13" s="106" customFormat="1" ht="15.75" hidden="1" customHeight="1" outlineLevel="1">
      <c r="A256" s="932"/>
      <c r="B256" s="1086">
        <v>82</v>
      </c>
      <c r="C256" s="1095"/>
      <c r="D256" s="1091"/>
      <c r="E256" s="1091" t="s">
        <v>20</v>
      </c>
      <c r="F256" s="1093" t="str">
        <f>VLOOKUP(E256,$N$13:$O$17,2,0)</f>
        <v>-</v>
      </c>
      <c r="G256" s="95"/>
      <c r="H256" s="93"/>
      <c r="I256" s="1091"/>
      <c r="J256" s="1083"/>
      <c r="K256" s="1083"/>
      <c r="L256" s="932"/>
      <c r="M256" s="932"/>
    </row>
    <row r="257" spans="1:13" s="106" customFormat="1" ht="15.75" hidden="1" customHeight="1" outlineLevel="1">
      <c r="A257" s="932"/>
      <c r="B257" s="1086"/>
      <c r="C257" s="1095"/>
      <c r="D257" s="1091"/>
      <c r="E257" s="1091"/>
      <c r="F257" s="1093"/>
      <c r="G257" s="98"/>
      <c r="H257" s="93"/>
      <c r="I257" s="1091"/>
      <c r="J257" s="1084"/>
      <c r="K257" s="1084"/>
      <c r="L257" s="932"/>
      <c r="M257" s="932"/>
    </row>
    <row r="258" spans="1:13" s="106" customFormat="1" ht="15.75" hidden="1" customHeight="1" outlineLevel="1">
      <c r="A258" s="932"/>
      <c r="B258" s="1087"/>
      <c r="C258" s="1096"/>
      <c r="D258" s="1092"/>
      <c r="E258" s="1092"/>
      <c r="F258" s="1094"/>
      <c r="G258" s="103"/>
      <c r="H258" s="101"/>
      <c r="I258" s="1092"/>
      <c r="J258" s="1085"/>
      <c r="K258" s="1085"/>
      <c r="L258" s="932"/>
      <c r="M258" s="932"/>
    </row>
    <row r="259" spans="1:13" s="106" customFormat="1" ht="15.75" hidden="1" customHeight="1" outlineLevel="1">
      <c r="A259" s="932"/>
      <c r="B259" s="1086">
        <v>83</v>
      </c>
      <c r="C259" s="1095"/>
      <c r="D259" s="1091"/>
      <c r="E259" s="1091" t="s">
        <v>20</v>
      </c>
      <c r="F259" s="1093" t="str">
        <f>VLOOKUP(E259,$N$13:$O$17,2,0)</f>
        <v>-</v>
      </c>
      <c r="G259" s="95"/>
      <c r="H259" s="93"/>
      <c r="I259" s="1091"/>
      <c r="J259" s="1083"/>
      <c r="K259" s="1083"/>
      <c r="L259" s="932"/>
      <c r="M259" s="932"/>
    </row>
    <row r="260" spans="1:13" s="106" customFormat="1" ht="15.75" hidden="1" customHeight="1" outlineLevel="1">
      <c r="A260" s="932"/>
      <c r="B260" s="1086"/>
      <c r="C260" s="1095"/>
      <c r="D260" s="1091"/>
      <c r="E260" s="1091"/>
      <c r="F260" s="1093"/>
      <c r="G260" s="98"/>
      <c r="H260" s="93"/>
      <c r="I260" s="1091"/>
      <c r="J260" s="1084"/>
      <c r="K260" s="1084"/>
      <c r="L260" s="932"/>
      <c r="M260" s="932"/>
    </row>
    <row r="261" spans="1:13" s="106" customFormat="1" ht="15.75" hidden="1" customHeight="1" outlineLevel="1">
      <c r="A261" s="932"/>
      <c r="B261" s="1087"/>
      <c r="C261" s="1096"/>
      <c r="D261" s="1092"/>
      <c r="E261" s="1092"/>
      <c r="F261" s="1094"/>
      <c r="G261" s="103"/>
      <c r="H261" s="101"/>
      <c r="I261" s="1092"/>
      <c r="J261" s="1085"/>
      <c r="K261" s="1085"/>
      <c r="L261" s="932"/>
      <c r="M261" s="932"/>
    </row>
    <row r="262" spans="1:13" s="106" customFormat="1" ht="15.75" hidden="1" customHeight="1" outlineLevel="1">
      <c r="A262" s="932"/>
      <c r="B262" s="1086">
        <v>84</v>
      </c>
      <c r="C262" s="1095"/>
      <c r="D262" s="1091"/>
      <c r="E262" s="1091" t="s">
        <v>20</v>
      </c>
      <c r="F262" s="1093" t="str">
        <f>VLOOKUP(E262,$N$13:$O$17,2,0)</f>
        <v>-</v>
      </c>
      <c r="G262" s="95"/>
      <c r="H262" s="93"/>
      <c r="I262" s="1091"/>
      <c r="J262" s="1083"/>
      <c r="K262" s="1083"/>
      <c r="L262" s="932"/>
      <c r="M262" s="932"/>
    </row>
    <row r="263" spans="1:13" s="106" customFormat="1" ht="15.75" hidden="1" customHeight="1" outlineLevel="1">
      <c r="A263" s="932"/>
      <c r="B263" s="1086"/>
      <c r="C263" s="1095"/>
      <c r="D263" s="1091"/>
      <c r="E263" s="1091"/>
      <c r="F263" s="1093"/>
      <c r="G263" s="98"/>
      <c r="H263" s="93"/>
      <c r="I263" s="1091"/>
      <c r="J263" s="1084"/>
      <c r="K263" s="1084"/>
      <c r="L263" s="932"/>
      <c r="M263" s="932"/>
    </row>
    <row r="264" spans="1:13" s="106" customFormat="1" ht="15.75" hidden="1" customHeight="1" outlineLevel="1">
      <c r="A264" s="932"/>
      <c r="B264" s="1087"/>
      <c r="C264" s="1096"/>
      <c r="D264" s="1092"/>
      <c r="E264" s="1092"/>
      <c r="F264" s="1094"/>
      <c r="G264" s="103"/>
      <c r="H264" s="101"/>
      <c r="I264" s="1092"/>
      <c r="J264" s="1085"/>
      <c r="K264" s="1085"/>
      <c r="L264" s="932"/>
      <c r="M264" s="932"/>
    </row>
    <row r="265" spans="1:13" s="106" customFormat="1" ht="15.75" hidden="1" customHeight="1" outlineLevel="1">
      <c r="A265" s="932"/>
      <c r="B265" s="1086">
        <v>85</v>
      </c>
      <c r="C265" s="1095"/>
      <c r="D265" s="1091"/>
      <c r="E265" s="1091" t="s">
        <v>20</v>
      </c>
      <c r="F265" s="1093" t="str">
        <f>VLOOKUP(E265,$N$13:$O$17,2,0)</f>
        <v>-</v>
      </c>
      <c r="G265" s="95"/>
      <c r="H265" s="93"/>
      <c r="I265" s="1091"/>
      <c r="J265" s="1083"/>
      <c r="K265" s="1083"/>
      <c r="L265" s="932"/>
      <c r="M265" s="932"/>
    </row>
    <row r="266" spans="1:13" s="106" customFormat="1" ht="15.75" hidden="1" customHeight="1" outlineLevel="1">
      <c r="A266" s="932"/>
      <c r="B266" s="1086"/>
      <c r="C266" s="1095"/>
      <c r="D266" s="1091"/>
      <c r="E266" s="1091"/>
      <c r="F266" s="1093"/>
      <c r="G266" s="98"/>
      <c r="H266" s="93"/>
      <c r="I266" s="1091"/>
      <c r="J266" s="1084"/>
      <c r="K266" s="1084"/>
      <c r="L266" s="932"/>
      <c r="M266" s="932"/>
    </row>
    <row r="267" spans="1:13" s="106" customFormat="1" ht="15.75" hidden="1" customHeight="1" outlineLevel="1">
      <c r="A267" s="932"/>
      <c r="B267" s="1087"/>
      <c r="C267" s="1096"/>
      <c r="D267" s="1092"/>
      <c r="E267" s="1092"/>
      <c r="F267" s="1094"/>
      <c r="G267" s="103"/>
      <c r="H267" s="101"/>
      <c r="I267" s="1092"/>
      <c r="J267" s="1085"/>
      <c r="K267" s="1085"/>
      <c r="L267" s="932"/>
      <c r="M267" s="932"/>
    </row>
    <row r="268" spans="1:13" s="106" customFormat="1" ht="15.75" hidden="1" customHeight="1" outlineLevel="1">
      <c r="A268" s="932"/>
      <c r="B268" s="1086">
        <v>86</v>
      </c>
      <c r="C268" s="1095"/>
      <c r="D268" s="1091"/>
      <c r="E268" s="1091" t="s">
        <v>20</v>
      </c>
      <c r="F268" s="1093" t="str">
        <f>VLOOKUP(E268,$N$13:$O$17,2,0)</f>
        <v>-</v>
      </c>
      <c r="G268" s="95"/>
      <c r="H268" s="93"/>
      <c r="I268" s="1091"/>
      <c r="J268" s="1083"/>
      <c r="K268" s="1083"/>
      <c r="L268" s="932"/>
      <c r="M268" s="932"/>
    </row>
    <row r="269" spans="1:13" s="106" customFormat="1" ht="15.75" hidden="1" customHeight="1" outlineLevel="1">
      <c r="A269" s="932"/>
      <c r="B269" s="1086"/>
      <c r="C269" s="1095"/>
      <c r="D269" s="1091"/>
      <c r="E269" s="1091"/>
      <c r="F269" s="1093"/>
      <c r="G269" s="98"/>
      <c r="H269" s="93"/>
      <c r="I269" s="1091"/>
      <c r="J269" s="1084"/>
      <c r="K269" s="1084"/>
      <c r="L269" s="932"/>
      <c r="M269" s="932"/>
    </row>
    <row r="270" spans="1:13" s="106" customFormat="1" ht="15.75" hidden="1" customHeight="1" outlineLevel="1">
      <c r="A270" s="932"/>
      <c r="B270" s="1087"/>
      <c r="C270" s="1096"/>
      <c r="D270" s="1092"/>
      <c r="E270" s="1092"/>
      <c r="F270" s="1094"/>
      <c r="G270" s="103"/>
      <c r="H270" s="101"/>
      <c r="I270" s="1092"/>
      <c r="J270" s="1085"/>
      <c r="K270" s="1085"/>
      <c r="L270" s="932"/>
      <c r="M270" s="932"/>
    </row>
    <row r="271" spans="1:13" s="106" customFormat="1" ht="15.75" hidden="1" customHeight="1" outlineLevel="1">
      <c r="A271" s="932"/>
      <c r="B271" s="1086">
        <v>87</v>
      </c>
      <c r="C271" s="1095"/>
      <c r="D271" s="1091"/>
      <c r="E271" s="1091" t="s">
        <v>20</v>
      </c>
      <c r="F271" s="1093" t="str">
        <f>VLOOKUP(E271,$N$13:$O$17,2,0)</f>
        <v>-</v>
      </c>
      <c r="G271" s="95"/>
      <c r="H271" s="93"/>
      <c r="I271" s="1091"/>
      <c r="J271" s="1083"/>
      <c r="K271" s="1083"/>
      <c r="L271" s="932"/>
      <c r="M271" s="932"/>
    </row>
    <row r="272" spans="1:13" s="106" customFormat="1" ht="15.75" hidden="1" customHeight="1" outlineLevel="1">
      <c r="A272" s="932"/>
      <c r="B272" s="1086"/>
      <c r="C272" s="1095"/>
      <c r="D272" s="1091"/>
      <c r="E272" s="1091"/>
      <c r="F272" s="1093"/>
      <c r="G272" s="98"/>
      <c r="H272" s="93"/>
      <c r="I272" s="1091"/>
      <c r="J272" s="1084"/>
      <c r="K272" s="1084"/>
      <c r="L272" s="932"/>
      <c r="M272" s="932"/>
    </row>
    <row r="273" spans="1:13" s="106" customFormat="1" ht="15.75" hidden="1" customHeight="1" outlineLevel="1">
      <c r="A273" s="932"/>
      <c r="B273" s="1087"/>
      <c r="C273" s="1096"/>
      <c r="D273" s="1092"/>
      <c r="E273" s="1092"/>
      <c r="F273" s="1094"/>
      <c r="G273" s="103"/>
      <c r="H273" s="101"/>
      <c r="I273" s="1092"/>
      <c r="J273" s="1085"/>
      <c r="K273" s="1085"/>
      <c r="L273" s="932"/>
      <c r="M273" s="932"/>
    </row>
    <row r="274" spans="1:13" s="106" customFormat="1" ht="15.75" hidden="1" customHeight="1" outlineLevel="1">
      <c r="A274" s="932"/>
      <c r="B274" s="1086">
        <v>88</v>
      </c>
      <c r="C274" s="1095"/>
      <c r="D274" s="1091"/>
      <c r="E274" s="1091" t="s">
        <v>20</v>
      </c>
      <c r="F274" s="1093" t="str">
        <f>VLOOKUP(E274,$N$13:$O$17,2,0)</f>
        <v>-</v>
      </c>
      <c r="G274" s="95"/>
      <c r="H274" s="93"/>
      <c r="I274" s="1091"/>
      <c r="J274" s="1083"/>
      <c r="K274" s="1083"/>
      <c r="L274" s="932"/>
      <c r="M274" s="932"/>
    </row>
    <row r="275" spans="1:13" s="106" customFormat="1" ht="15.75" hidden="1" customHeight="1" outlineLevel="1">
      <c r="A275" s="932"/>
      <c r="B275" s="1086"/>
      <c r="C275" s="1095"/>
      <c r="D275" s="1091"/>
      <c r="E275" s="1091"/>
      <c r="F275" s="1093"/>
      <c r="G275" s="98"/>
      <c r="H275" s="93"/>
      <c r="I275" s="1091"/>
      <c r="J275" s="1084"/>
      <c r="K275" s="1084"/>
      <c r="L275" s="932"/>
      <c r="M275" s="932"/>
    </row>
    <row r="276" spans="1:13" s="106" customFormat="1" ht="15.75" hidden="1" customHeight="1" outlineLevel="1">
      <c r="A276" s="932"/>
      <c r="B276" s="1087"/>
      <c r="C276" s="1096"/>
      <c r="D276" s="1092"/>
      <c r="E276" s="1092"/>
      <c r="F276" s="1094"/>
      <c r="G276" s="103"/>
      <c r="H276" s="101"/>
      <c r="I276" s="1092"/>
      <c r="J276" s="1085"/>
      <c r="K276" s="1085"/>
      <c r="L276" s="932"/>
      <c r="M276" s="932"/>
    </row>
    <row r="277" spans="1:13" s="106" customFormat="1" ht="15.75" hidden="1" customHeight="1" outlineLevel="1">
      <c r="A277" s="932"/>
      <c r="B277" s="1086">
        <v>89</v>
      </c>
      <c r="C277" s="1095"/>
      <c r="D277" s="1091"/>
      <c r="E277" s="1091" t="s">
        <v>20</v>
      </c>
      <c r="F277" s="1093" t="str">
        <f>VLOOKUP(E277,$N$13:$O$17,2,0)</f>
        <v>-</v>
      </c>
      <c r="G277" s="95"/>
      <c r="H277" s="93"/>
      <c r="I277" s="1091"/>
      <c r="J277" s="1083"/>
      <c r="K277" s="1083"/>
      <c r="L277" s="932"/>
      <c r="M277" s="932"/>
    </row>
    <row r="278" spans="1:13" s="106" customFormat="1" ht="15.75" hidden="1" customHeight="1" outlineLevel="1">
      <c r="A278" s="932"/>
      <c r="B278" s="1086"/>
      <c r="C278" s="1095"/>
      <c r="D278" s="1091"/>
      <c r="E278" s="1091"/>
      <c r="F278" s="1093"/>
      <c r="G278" s="98"/>
      <c r="H278" s="93"/>
      <c r="I278" s="1091"/>
      <c r="J278" s="1084"/>
      <c r="K278" s="1084"/>
      <c r="L278" s="932"/>
      <c r="M278" s="932"/>
    </row>
    <row r="279" spans="1:13" s="106" customFormat="1" ht="15.75" hidden="1" customHeight="1" outlineLevel="1">
      <c r="A279" s="932"/>
      <c r="B279" s="1087"/>
      <c r="C279" s="1096"/>
      <c r="D279" s="1092"/>
      <c r="E279" s="1092"/>
      <c r="F279" s="1094"/>
      <c r="G279" s="103"/>
      <c r="H279" s="101"/>
      <c r="I279" s="1092"/>
      <c r="J279" s="1085"/>
      <c r="K279" s="1085"/>
      <c r="L279" s="932"/>
      <c r="M279" s="932"/>
    </row>
    <row r="280" spans="1:13" s="106" customFormat="1" ht="15.75" hidden="1" customHeight="1" outlineLevel="1">
      <c r="A280" s="932"/>
      <c r="B280" s="1086">
        <v>90</v>
      </c>
      <c r="C280" s="1095"/>
      <c r="D280" s="1091"/>
      <c r="E280" s="1091" t="s">
        <v>20</v>
      </c>
      <c r="F280" s="1093" t="str">
        <f>VLOOKUP(E280,$N$13:$O$17,2,0)</f>
        <v>-</v>
      </c>
      <c r="G280" s="95"/>
      <c r="H280" s="93"/>
      <c r="I280" s="1091"/>
      <c r="J280" s="1083"/>
      <c r="K280" s="1083"/>
      <c r="L280" s="932"/>
      <c r="M280" s="932"/>
    </row>
    <row r="281" spans="1:13" s="106" customFormat="1" ht="15.75" hidden="1" customHeight="1" outlineLevel="1">
      <c r="A281" s="932"/>
      <c r="B281" s="1086"/>
      <c r="C281" s="1095"/>
      <c r="D281" s="1091"/>
      <c r="E281" s="1091"/>
      <c r="F281" s="1093"/>
      <c r="G281" s="98"/>
      <c r="H281" s="93"/>
      <c r="I281" s="1091"/>
      <c r="J281" s="1084"/>
      <c r="K281" s="1084"/>
      <c r="L281" s="932"/>
      <c r="M281" s="932"/>
    </row>
    <row r="282" spans="1:13" s="106" customFormat="1" ht="15.75" hidden="1" customHeight="1" outlineLevel="1">
      <c r="A282" s="932"/>
      <c r="B282" s="1087"/>
      <c r="C282" s="1096"/>
      <c r="D282" s="1092"/>
      <c r="E282" s="1092"/>
      <c r="F282" s="1094"/>
      <c r="G282" s="103"/>
      <c r="H282" s="101"/>
      <c r="I282" s="1092"/>
      <c r="J282" s="1085"/>
      <c r="K282" s="1085"/>
      <c r="L282" s="932"/>
      <c r="M282" s="932"/>
    </row>
    <row r="283" spans="1:13" s="106" customFormat="1" ht="15.75" hidden="1" customHeight="1" outlineLevel="1">
      <c r="A283" s="932"/>
      <c r="B283" s="1086">
        <v>91</v>
      </c>
      <c r="C283" s="1095"/>
      <c r="D283" s="1091"/>
      <c r="E283" s="1091" t="s">
        <v>20</v>
      </c>
      <c r="F283" s="1093" t="str">
        <f>VLOOKUP(E283,$N$13:$O$17,2,0)</f>
        <v>-</v>
      </c>
      <c r="G283" s="95"/>
      <c r="H283" s="93"/>
      <c r="I283" s="1091"/>
      <c r="J283" s="1083"/>
      <c r="K283" s="1083"/>
      <c r="L283" s="932"/>
      <c r="M283" s="932"/>
    </row>
    <row r="284" spans="1:13" s="106" customFormat="1" ht="15.75" hidden="1" customHeight="1" outlineLevel="1">
      <c r="A284" s="932"/>
      <c r="B284" s="1086"/>
      <c r="C284" s="1095"/>
      <c r="D284" s="1091"/>
      <c r="E284" s="1091"/>
      <c r="F284" s="1093"/>
      <c r="G284" s="98"/>
      <c r="H284" s="93"/>
      <c r="I284" s="1091"/>
      <c r="J284" s="1084"/>
      <c r="K284" s="1084"/>
      <c r="L284" s="932"/>
      <c r="M284" s="932"/>
    </row>
    <row r="285" spans="1:13" s="106" customFormat="1" ht="15.75" hidden="1" customHeight="1" outlineLevel="1">
      <c r="A285" s="932"/>
      <c r="B285" s="1087"/>
      <c r="C285" s="1096"/>
      <c r="D285" s="1092"/>
      <c r="E285" s="1092"/>
      <c r="F285" s="1094"/>
      <c r="G285" s="103"/>
      <c r="H285" s="101"/>
      <c r="I285" s="1092"/>
      <c r="J285" s="1085"/>
      <c r="K285" s="1085"/>
      <c r="L285" s="932"/>
      <c r="M285" s="932"/>
    </row>
    <row r="286" spans="1:13" s="106" customFormat="1" ht="15.75" hidden="1" customHeight="1" outlineLevel="1">
      <c r="A286" s="932"/>
      <c r="B286" s="1086">
        <v>92</v>
      </c>
      <c r="C286" s="1095"/>
      <c r="D286" s="1091"/>
      <c r="E286" s="1091" t="s">
        <v>20</v>
      </c>
      <c r="F286" s="1093" t="str">
        <f>VLOOKUP(E286,$N$13:$O$17,2,0)</f>
        <v>-</v>
      </c>
      <c r="G286" s="95"/>
      <c r="H286" s="93"/>
      <c r="I286" s="1091"/>
      <c r="J286" s="1083"/>
      <c r="K286" s="1083"/>
      <c r="L286" s="932"/>
      <c r="M286" s="932"/>
    </row>
    <row r="287" spans="1:13" s="106" customFormat="1" ht="15.75" hidden="1" customHeight="1" outlineLevel="1">
      <c r="A287" s="932"/>
      <c r="B287" s="1086"/>
      <c r="C287" s="1095"/>
      <c r="D287" s="1091"/>
      <c r="E287" s="1091"/>
      <c r="F287" s="1093"/>
      <c r="G287" s="98"/>
      <c r="H287" s="93"/>
      <c r="I287" s="1091"/>
      <c r="J287" s="1084"/>
      <c r="K287" s="1084"/>
      <c r="L287" s="932"/>
      <c r="M287" s="932"/>
    </row>
    <row r="288" spans="1:13" s="106" customFormat="1" ht="15.75" hidden="1" customHeight="1" outlineLevel="1">
      <c r="A288" s="932"/>
      <c r="B288" s="1087"/>
      <c r="C288" s="1096"/>
      <c r="D288" s="1092"/>
      <c r="E288" s="1092"/>
      <c r="F288" s="1094"/>
      <c r="G288" s="103"/>
      <c r="H288" s="101"/>
      <c r="I288" s="1092"/>
      <c r="J288" s="1085"/>
      <c r="K288" s="1085"/>
      <c r="L288" s="932"/>
      <c r="M288" s="932"/>
    </row>
    <row r="289" spans="1:13" s="106" customFormat="1" ht="15.75" hidden="1" customHeight="1" outlineLevel="1">
      <c r="A289" s="932"/>
      <c r="B289" s="1086">
        <v>93</v>
      </c>
      <c r="C289" s="1095"/>
      <c r="D289" s="1091"/>
      <c r="E289" s="1091" t="s">
        <v>20</v>
      </c>
      <c r="F289" s="1093" t="str">
        <f>VLOOKUP(E289,$N$13:$O$17,2,0)</f>
        <v>-</v>
      </c>
      <c r="G289" s="95"/>
      <c r="H289" s="93"/>
      <c r="I289" s="1091"/>
      <c r="J289" s="1083"/>
      <c r="K289" s="1083"/>
      <c r="L289" s="932"/>
      <c r="M289" s="932"/>
    </row>
    <row r="290" spans="1:13" s="106" customFormat="1" ht="15.75" hidden="1" customHeight="1" outlineLevel="1">
      <c r="A290" s="932"/>
      <c r="B290" s="1086"/>
      <c r="C290" s="1095"/>
      <c r="D290" s="1091"/>
      <c r="E290" s="1091"/>
      <c r="F290" s="1093"/>
      <c r="G290" s="98"/>
      <c r="H290" s="93"/>
      <c r="I290" s="1091"/>
      <c r="J290" s="1084"/>
      <c r="K290" s="1084"/>
      <c r="L290" s="932"/>
      <c r="M290" s="932"/>
    </row>
    <row r="291" spans="1:13" s="106" customFormat="1" ht="15.75" hidden="1" customHeight="1" outlineLevel="1">
      <c r="A291" s="932"/>
      <c r="B291" s="1087"/>
      <c r="C291" s="1096"/>
      <c r="D291" s="1092"/>
      <c r="E291" s="1092"/>
      <c r="F291" s="1094"/>
      <c r="G291" s="103"/>
      <c r="H291" s="101"/>
      <c r="I291" s="1092"/>
      <c r="J291" s="1085"/>
      <c r="K291" s="1085"/>
      <c r="L291" s="932"/>
      <c r="M291" s="932"/>
    </row>
    <row r="292" spans="1:13" s="106" customFormat="1" ht="15.75" hidden="1" customHeight="1" outlineLevel="1">
      <c r="A292" s="932"/>
      <c r="B292" s="1086">
        <v>94</v>
      </c>
      <c r="C292" s="1095"/>
      <c r="D292" s="1091"/>
      <c r="E292" s="1091" t="s">
        <v>20</v>
      </c>
      <c r="F292" s="1093" t="str">
        <f>VLOOKUP(E292,$N$13:$O$17,2,0)</f>
        <v>-</v>
      </c>
      <c r="G292" s="95"/>
      <c r="H292" s="93"/>
      <c r="I292" s="1091"/>
      <c r="J292" s="1083"/>
      <c r="K292" s="1083"/>
      <c r="L292" s="932"/>
      <c r="M292" s="932"/>
    </row>
    <row r="293" spans="1:13" s="106" customFormat="1" ht="15.75" hidden="1" customHeight="1" outlineLevel="1">
      <c r="A293" s="932"/>
      <c r="B293" s="1086"/>
      <c r="C293" s="1095"/>
      <c r="D293" s="1091"/>
      <c r="E293" s="1091"/>
      <c r="F293" s="1093"/>
      <c r="G293" s="98"/>
      <c r="H293" s="93"/>
      <c r="I293" s="1091"/>
      <c r="J293" s="1084"/>
      <c r="K293" s="1084"/>
      <c r="L293" s="932"/>
      <c r="M293" s="932"/>
    </row>
    <row r="294" spans="1:13" s="106" customFormat="1" ht="15.75" hidden="1" customHeight="1" outlineLevel="1">
      <c r="A294" s="932"/>
      <c r="B294" s="1087"/>
      <c r="C294" s="1096"/>
      <c r="D294" s="1092"/>
      <c r="E294" s="1092"/>
      <c r="F294" s="1094"/>
      <c r="G294" s="103"/>
      <c r="H294" s="101"/>
      <c r="I294" s="1092"/>
      <c r="J294" s="1085"/>
      <c r="K294" s="1085"/>
      <c r="L294" s="932"/>
      <c r="M294" s="932"/>
    </row>
    <row r="295" spans="1:13" s="106" customFormat="1" ht="15.75" hidden="1" customHeight="1" outlineLevel="1">
      <c r="A295" s="932"/>
      <c r="B295" s="1086">
        <v>95</v>
      </c>
      <c r="C295" s="1095"/>
      <c r="D295" s="1091"/>
      <c r="E295" s="1091" t="s">
        <v>20</v>
      </c>
      <c r="F295" s="1093" t="str">
        <f>VLOOKUP(E295,$N$13:$O$17,2,0)</f>
        <v>-</v>
      </c>
      <c r="G295" s="95"/>
      <c r="H295" s="93"/>
      <c r="I295" s="1091"/>
      <c r="J295" s="1083"/>
      <c r="K295" s="1083"/>
      <c r="L295" s="932"/>
      <c r="M295" s="932"/>
    </row>
    <row r="296" spans="1:13" s="106" customFormat="1" ht="15.75" hidden="1" customHeight="1" outlineLevel="1">
      <c r="A296" s="932"/>
      <c r="B296" s="1086"/>
      <c r="C296" s="1095"/>
      <c r="D296" s="1091"/>
      <c r="E296" s="1091"/>
      <c r="F296" s="1093"/>
      <c r="G296" s="98"/>
      <c r="H296" s="93"/>
      <c r="I296" s="1091"/>
      <c r="J296" s="1084"/>
      <c r="K296" s="1084"/>
      <c r="L296" s="932"/>
      <c r="M296" s="932"/>
    </row>
    <row r="297" spans="1:13" s="106" customFormat="1" ht="15.75" hidden="1" customHeight="1" outlineLevel="1">
      <c r="A297" s="932"/>
      <c r="B297" s="1087"/>
      <c r="C297" s="1096"/>
      <c r="D297" s="1092"/>
      <c r="E297" s="1092"/>
      <c r="F297" s="1094"/>
      <c r="G297" s="103"/>
      <c r="H297" s="101"/>
      <c r="I297" s="1092"/>
      <c r="J297" s="1085"/>
      <c r="K297" s="1085"/>
      <c r="L297" s="932"/>
      <c r="M297" s="932"/>
    </row>
    <row r="298" spans="1:13" s="106" customFormat="1" ht="15.75" hidden="1" customHeight="1" outlineLevel="1">
      <c r="A298" s="932"/>
      <c r="B298" s="1086">
        <v>96</v>
      </c>
      <c r="C298" s="1095"/>
      <c r="D298" s="1091"/>
      <c r="E298" s="1091" t="s">
        <v>20</v>
      </c>
      <c r="F298" s="1093" t="str">
        <f>VLOOKUP(E298,$N$13:$O$17,2,0)</f>
        <v>-</v>
      </c>
      <c r="G298" s="95"/>
      <c r="H298" s="93"/>
      <c r="I298" s="1091"/>
      <c r="J298" s="1083"/>
      <c r="K298" s="1083"/>
      <c r="L298" s="932"/>
      <c r="M298" s="932"/>
    </row>
    <row r="299" spans="1:13" s="106" customFormat="1" ht="15.75" hidden="1" customHeight="1" outlineLevel="1">
      <c r="A299" s="932"/>
      <c r="B299" s="1086"/>
      <c r="C299" s="1095"/>
      <c r="D299" s="1091"/>
      <c r="E299" s="1091"/>
      <c r="F299" s="1093"/>
      <c r="G299" s="98"/>
      <c r="H299" s="93"/>
      <c r="I299" s="1091"/>
      <c r="J299" s="1084"/>
      <c r="K299" s="1084"/>
      <c r="L299" s="932"/>
      <c r="M299" s="932"/>
    </row>
    <row r="300" spans="1:13" s="106" customFormat="1" ht="15.75" hidden="1" customHeight="1" outlineLevel="1">
      <c r="A300" s="932"/>
      <c r="B300" s="1087"/>
      <c r="C300" s="1096"/>
      <c r="D300" s="1092"/>
      <c r="E300" s="1092"/>
      <c r="F300" s="1094"/>
      <c r="G300" s="103"/>
      <c r="H300" s="101"/>
      <c r="I300" s="1092"/>
      <c r="J300" s="1085"/>
      <c r="K300" s="1085"/>
      <c r="L300" s="932"/>
      <c r="M300" s="932"/>
    </row>
    <row r="301" spans="1:13" s="106" customFormat="1" ht="15.75" hidden="1" customHeight="1" outlineLevel="1">
      <c r="A301" s="932"/>
      <c r="B301" s="1086">
        <v>97</v>
      </c>
      <c r="C301" s="1095"/>
      <c r="D301" s="1091"/>
      <c r="E301" s="1091" t="s">
        <v>20</v>
      </c>
      <c r="F301" s="1093" t="str">
        <f>VLOOKUP(E301,$N$13:$O$17,2,0)</f>
        <v>-</v>
      </c>
      <c r="G301" s="95"/>
      <c r="H301" s="93"/>
      <c r="I301" s="1091"/>
      <c r="J301" s="1083"/>
      <c r="K301" s="1083"/>
      <c r="L301" s="932"/>
      <c r="M301" s="932"/>
    </row>
    <row r="302" spans="1:13" s="106" customFormat="1" ht="15.75" hidden="1" customHeight="1" outlineLevel="1">
      <c r="A302" s="932"/>
      <c r="B302" s="1086"/>
      <c r="C302" s="1095"/>
      <c r="D302" s="1091"/>
      <c r="E302" s="1091"/>
      <c r="F302" s="1093"/>
      <c r="G302" s="98"/>
      <c r="H302" s="93"/>
      <c r="I302" s="1091"/>
      <c r="J302" s="1084"/>
      <c r="K302" s="1084"/>
      <c r="L302" s="932"/>
      <c r="M302" s="932"/>
    </row>
    <row r="303" spans="1:13" s="106" customFormat="1" ht="15.75" hidden="1" customHeight="1" outlineLevel="1">
      <c r="A303" s="932"/>
      <c r="B303" s="1087"/>
      <c r="C303" s="1096"/>
      <c r="D303" s="1092"/>
      <c r="E303" s="1092"/>
      <c r="F303" s="1094"/>
      <c r="G303" s="103"/>
      <c r="H303" s="101"/>
      <c r="I303" s="1092"/>
      <c r="J303" s="1085"/>
      <c r="K303" s="1085"/>
      <c r="L303" s="932"/>
      <c r="M303" s="932"/>
    </row>
    <row r="304" spans="1:13" s="106" customFormat="1" ht="15.75" hidden="1" customHeight="1" outlineLevel="1">
      <c r="A304" s="932"/>
      <c r="B304" s="1086">
        <v>98</v>
      </c>
      <c r="C304" s="1095"/>
      <c r="D304" s="1091"/>
      <c r="E304" s="1091" t="s">
        <v>20</v>
      </c>
      <c r="F304" s="1093" t="str">
        <f>VLOOKUP(E304,$N$13:$O$17,2,0)</f>
        <v>-</v>
      </c>
      <c r="G304" s="95"/>
      <c r="H304" s="93"/>
      <c r="I304" s="1091"/>
      <c r="J304" s="1083"/>
      <c r="K304" s="1083"/>
      <c r="L304" s="932"/>
      <c r="M304" s="932"/>
    </row>
    <row r="305" spans="1:13" s="106" customFormat="1" ht="15.75" hidden="1" customHeight="1" outlineLevel="1">
      <c r="A305" s="932"/>
      <c r="B305" s="1086"/>
      <c r="C305" s="1095"/>
      <c r="D305" s="1091"/>
      <c r="E305" s="1091"/>
      <c r="F305" s="1093"/>
      <c r="G305" s="98"/>
      <c r="H305" s="93"/>
      <c r="I305" s="1091"/>
      <c r="J305" s="1084"/>
      <c r="K305" s="1084"/>
      <c r="L305" s="932"/>
      <c r="M305" s="932"/>
    </row>
    <row r="306" spans="1:13" s="106" customFormat="1" ht="15.75" hidden="1" customHeight="1" outlineLevel="1">
      <c r="A306" s="932"/>
      <c r="B306" s="1087"/>
      <c r="C306" s="1096"/>
      <c r="D306" s="1092"/>
      <c r="E306" s="1092"/>
      <c r="F306" s="1094"/>
      <c r="G306" s="103"/>
      <c r="H306" s="101"/>
      <c r="I306" s="1092"/>
      <c r="J306" s="1085"/>
      <c r="K306" s="1085"/>
      <c r="L306" s="932"/>
      <c r="M306" s="932"/>
    </row>
    <row r="307" spans="1:13" s="106" customFormat="1" ht="15.75" hidden="1" customHeight="1" outlineLevel="1">
      <c r="A307" s="932"/>
      <c r="B307" s="1086">
        <v>99</v>
      </c>
      <c r="C307" s="1095"/>
      <c r="D307" s="1091"/>
      <c r="E307" s="1091" t="s">
        <v>20</v>
      </c>
      <c r="F307" s="1093" t="str">
        <f>VLOOKUP(E307,$N$13:$O$17,2,0)</f>
        <v>-</v>
      </c>
      <c r="G307" s="95"/>
      <c r="H307" s="93"/>
      <c r="I307" s="1091"/>
      <c r="J307" s="1083"/>
      <c r="K307" s="1083"/>
      <c r="L307" s="932"/>
      <c r="M307" s="932"/>
    </row>
    <row r="308" spans="1:13" s="106" customFormat="1" ht="15.75" hidden="1" customHeight="1" outlineLevel="1">
      <c r="A308" s="932"/>
      <c r="B308" s="1086"/>
      <c r="C308" s="1095"/>
      <c r="D308" s="1091"/>
      <c r="E308" s="1091"/>
      <c r="F308" s="1093"/>
      <c r="G308" s="98"/>
      <c r="H308" s="93"/>
      <c r="I308" s="1091"/>
      <c r="J308" s="1084"/>
      <c r="K308" s="1084"/>
      <c r="L308" s="932"/>
      <c r="M308" s="932"/>
    </row>
    <row r="309" spans="1:13" s="106" customFormat="1" ht="15.75" hidden="1" customHeight="1" outlineLevel="1">
      <c r="A309" s="932"/>
      <c r="B309" s="1087"/>
      <c r="C309" s="1096"/>
      <c r="D309" s="1092"/>
      <c r="E309" s="1092"/>
      <c r="F309" s="1094"/>
      <c r="G309" s="103"/>
      <c r="H309" s="101"/>
      <c r="I309" s="1092"/>
      <c r="J309" s="1085"/>
      <c r="K309" s="1085"/>
      <c r="L309" s="932"/>
      <c r="M309" s="932"/>
    </row>
    <row r="310" spans="1:13" s="106" customFormat="1" ht="15.75" hidden="1" customHeight="1" outlineLevel="1">
      <c r="A310" s="932"/>
      <c r="B310" s="1086">
        <v>100</v>
      </c>
      <c r="C310" s="1095"/>
      <c r="D310" s="1091"/>
      <c r="E310" s="1091" t="s">
        <v>20</v>
      </c>
      <c r="F310" s="1093" t="str">
        <f>VLOOKUP(E310,$N$13:$O$17,2,0)</f>
        <v>-</v>
      </c>
      <c r="G310" s="95"/>
      <c r="H310" s="93"/>
      <c r="I310" s="1091"/>
      <c r="J310" s="1083"/>
      <c r="K310" s="1083"/>
      <c r="L310" s="932"/>
      <c r="M310" s="932"/>
    </row>
    <row r="311" spans="1:13" s="106" customFormat="1" ht="15.75" hidden="1" customHeight="1" outlineLevel="1">
      <c r="A311" s="932"/>
      <c r="B311" s="1086"/>
      <c r="C311" s="1095"/>
      <c r="D311" s="1091"/>
      <c r="E311" s="1091"/>
      <c r="F311" s="1093"/>
      <c r="G311" s="98"/>
      <c r="H311" s="93"/>
      <c r="I311" s="1091"/>
      <c r="J311" s="1084"/>
      <c r="K311" s="1084"/>
      <c r="L311" s="932"/>
      <c r="M311" s="932"/>
    </row>
    <row r="312" spans="1:13" s="106" customFormat="1" ht="15.75" hidden="1" customHeight="1" outlineLevel="1">
      <c r="A312" s="932"/>
      <c r="B312" s="1087"/>
      <c r="C312" s="1096"/>
      <c r="D312" s="1092"/>
      <c r="E312" s="1092"/>
      <c r="F312" s="1094"/>
      <c r="G312" s="103"/>
      <c r="H312" s="101"/>
      <c r="I312" s="1092"/>
      <c r="J312" s="1085"/>
      <c r="K312" s="1085"/>
      <c r="L312" s="932"/>
      <c r="M312" s="932"/>
    </row>
    <row r="313" spans="1:13" s="106" customFormat="1" ht="15.75" hidden="1" customHeight="1" outlineLevel="1">
      <c r="A313" s="932"/>
      <c r="B313" s="1086">
        <v>101</v>
      </c>
      <c r="C313" s="1095"/>
      <c r="D313" s="1091"/>
      <c r="E313" s="1091" t="s">
        <v>20</v>
      </c>
      <c r="F313" s="1093" t="str">
        <f>VLOOKUP(E313,$N$13:$O$17,2,0)</f>
        <v>-</v>
      </c>
      <c r="G313" s="95"/>
      <c r="H313" s="93"/>
      <c r="I313" s="1091"/>
      <c r="J313" s="1083"/>
      <c r="K313" s="1083"/>
      <c r="L313" s="932"/>
      <c r="M313" s="932"/>
    </row>
    <row r="314" spans="1:13" s="106" customFormat="1" ht="15.75" hidden="1" customHeight="1" outlineLevel="1">
      <c r="A314" s="932"/>
      <c r="B314" s="1086"/>
      <c r="C314" s="1095"/>
      <c r="D314" s="1091"/>
      <c r="E314" s="1091"/>
      <c r="F314" s="1093"/>
      <c r="G314" s="98"/>
      <c r="H314" s="93"/>
      <c r="I314" s="1091"/>
      <c r="J314" s="1084"/>
      <c r="K314" s="1084"/>
      <c r="L314" s="932"/>
      <c r="M314" s="932"/>
    </row>
    <row r="315" spans="1:13" s="106" customFormat="1" ht="15.75" hidden="1" customHeight="1" outlineLevel="1">
      <c r="A315" s="932"/>
      <c r="B315" s="1087"/>
      <c r="C315" s="1096"/>
      <c r="D315" s="1092"/>
      <c r="E315" s="1092"/>
      <c r="F315" s="1094"/>
      <c r="G315" s="103"/>
      <c r="H315" s="101"/>
      <c r="I315" s="1092"/>
      <c r="J315" s="1085"/>
      <c r="K315" s="1085"/>
      <c r="L315" s="932"/>
      <c r="M315" s="932"/>
    </row>
    <row r="316" spans="1:13" s="106" customFormat="1" ht="15.75" hidden="1" customHeight="1" outlineLevel="1">
      <c r="A316" s="932"/>
      <c r="B316" s="1086">
        <v>102</v>
      </c>
      <c r="C316" s="1095"/>
      <c r="D316" s="1091"/>
      <c r="E316" s="1091" t="s">
        <v>20</v>
      </c>
      <c r="F316" s="1093" t="str">
        <f>VLOOKUP(E316,$N$13:$O$17,2,0)</f>
        <v>-</v>
      </c>
      <c r="G316" s="95"/>
      <c r="H316" s="93"/>
      <c r="I316" s="1091"/>
      <c r="J316" s="1083"/>
      <c r="K316" s="1083"/>
      <c r="L316" s="932"/>
      <c r="M316" s="932"/>
    </row>
    <row r="317" spans="1:13" s="106" customFormat="1" ht="15.75" hidden="1" customHeight="1" outlineLevel="1">
      <c r="A317" s="932"/>
      <c r="B317" s="1086"/>
      <c r="C317" s="1095"/>
      <c r="D317" s="1091"/>
      <c r="E317" s="1091"/>
      <c r="F317" s="1093"/>
      <c r="G317" s="98"/>
      <c r="H317" s="93"/>
      <c r="I317" s="1091"/>
      <c r="J317" s="1084"/>
      <c r="K317" s="1084"/>
      <c r="L317" s="932"/>
      <c r="M317" s="932"/>
    </row>
    <row r="318" spans="1:13" s="106" customFormat="1" ht="15.75" hidden="1" customHeight="1" outlineLevel="1">
      <c r="A318" s="932"/>
      <c r="B318" s="1087"/>
      <c r="C318" s="1096"/>
      <c r="D318" s="1092"/>
      <c r="E318" s="1092"/>
      <c r="F318" s="1094"/>
      <c r="G318" s="103"/>
      <c r="H318" s="101"/>
      <c r="I318" s="1092"/>
      <c r="J318" s="1085"/>
      <c r="K318" s="1085"/>
      <c r="L318" s="932"/>
      <c r="M318" s="932"/>
    </row>
    <row r="319" spans="1:13" s="106" customFormat="1" ht="15.75" hidden="1" customHeight="1" outlineLevel="1">
      <c r="A319" s="932"/>
      <c r="B319" s="1086">
        <v>103</v>
      </c>
      <c r="C319" s="1095"/>
      <c r="D319" s="1091"/>
      <c r="E319" s="1091" t="s">
        <v>20</v>
      </c>
      <c r="F319" s="1093" t="str">
        <f>VLOOKUP(E319,$N$13:$O$17,2,0)</f>
        <v>-</v>
      </c>
      <c r="G319" s="95"/>
      <c r="H319" s="93"/>
      <c r="I319" s="1091"/>
      <c r="J319" s="1083"/>
      <c r="K319" s="1083"/>
      <c r="L319" s="932"/>
      <c r="M319" s="932"/>
    </row>
    <row r="320" spans="1:13" s="106" customFormat="1" ht="15.75" hidden="1" customHeight="1" outlineLevel="1">
      <c r="A320" s="932"/>
      <c r="B320" s="1086"/>
      <c r="C320" s="1095"/>
      <c r="D320" s="1091"/>
      <c r="E320" s="1091"/>
      <c r="F320" s="1093"/>
      <c r="G320" s="98"/>
      <c r="H320" s="93"/>
      <c r="I320" s="1091"/>
      <c r="J320" s="1084"/>
      <c r="K320" s="1084"/>
      <c r="L320" s="932"/>
      <c r="M320" s="932"/>
    </row>
    <row r="321" spans="1:13" s="106" customFormat="1" ht="15.75" hidden="1" customHeight="1" outlineLevel="1">
      <c r="A321" s="932"/>
      <c r="B321" s="1087"/>
      <c r="C321" s="1096"/>
      <c r="D321" s="1092"/>
      <c r="E321" s="1092"/>
      <c r="F321" s="1094"/>
      <c r="G321" s="103"/>
      <c r="H321" s="101"/>
      <c r="I321" s="1092"/>
      <c r="J321" s="1085"/>
      <c r="K321" s="1085"/>
      <c r="L321" s="932"/>
      <c r="M321" s="932"/>
    </row>
    <row r="322" spans="1:13" s="106" customFormat="1" ht="15.75" hidden="1" customHeight="1" outlineLevel="1">
      <c r="A322" s="932"/>
      <c r="B322" s="1086">
        <v>104</v>
      </c>
      <c r="C322" s="1095"/>
      <c r="D322" s="1091"/>
      <c r="E322" s="1091" t="s">
        <v>20</v>
      </c>
      <c r="F322" s="1093" t="str">
        <f>VLOOKUP(E322,$N$13:$O$17,2,0)</f>
        <v>-</v>
      </c>
      <c r="G322" s="95"/>
      <c r="H322" s="93"/>
      <c r="I322" s="1091"/>
      <c r="J322" s="1083"/>
      <c r="K322" s="1083"/>
      <c r="L322" s="932"/>
      <c r="M322" s="932"/>
    </row>
    <row r="323" spans="1:13" s="106" customFormat="1" ht="15.75" hidden="1" customHeight="1" outlineLevel="1">
      <c r="A323" s="932"/>
      <c r="B323" s="1086"/>
      <c r="C323" s="1095"/>
      <c r="D323" s="1091"/>
      <c r="E323" s="1091"/>
      <c r="F323" s="1093"/>
      <c r="G323" s="98"/>
      <c r="H323" s="93"/>
      <c r="I323" s="1091"/>
      <c r="J323" s="1084"/>
      <c r="K323" s="1084"/>
      <c r="L323" s="932"/>
      <c r="M323" s="932"/>
    </row>
    <row r="324" spans="1:13" s="106" customFormat="1" ht="15.75" hidden="1" customHeight="1" outlineLevel="1">
      <c r="A324" s="932"/>
      <c r="B324" s="1087"/>
      <c r="C324" s="1096"/>
      <c r="D324" s="1092"/>
      <c r="E324" s="1092"/>
      <c r="F324" s="1094"/>
      <c r="G324" s="103"/>
      <c r="H324" s="101"/>
      <c r="I324" s="1092"/>
      <c r="J324" s="1085"/>
      <c r="K324" s="1085"/>
      <c r="L324" s="932"/>
      <c r="M324" s="932"/>
    </row>
    <row r="325" spans="1:13" s="106" customFormat="1" ht="15.75" hidden="1" customHeight="1" outlineLevel="1">
      <c r="A325" s="932"/>
      <c r="B325" s="1086">
        <v>105</v>
      </c>
      <c r="C325" s="1095"/>
      <c r="D325" s="1091"/>
      <c r="E325" s="1091" t="s">
        <v>20</v>
      </c>
      <c r="F325" s="1093" t="str">
        <f>VLOOKUP(E325,$N$13:$O$17,2,0)</f>
        <v>-</v>
      </c>
      <c r="G325" s="95"/>
      <c r="H325" s="93"/>
      <c r="I325" s="1091"/>
      <c r="J325" s="1083"/>
      <c r="K325" s="1083"/>
      <c r="L325" s="932"/>
      <c r="M325" s="932"/>
    </row>
    <row r="326" spans="1:13" s="106" customFormat="1" ht="15.75" hidden="1" customHeight="1" outlineLevel="1">
      <c r="A326" s="932"/>
      <c r="B326" s="1086"/>
      <c r="C326" s="1095"/>
      <c r="D326" s="1091"/>
      <c r="E326" s="1091"/>
      <c r="F326" s="1093"/>
      <c r="G326" s="98"/>
      <c r="H326" s="93"/>
      <c r="I326" s="1091"/>
      <c r="J326" s="1084"/>
      <c r="K326" s="1084"/>
      <c r="L326" s="932"/>
      <c r="M326" s="932"/>
    </row>
    <row r="327" spans="1:13" s="106" customFormat="1" ht="15.75" hidden="1" customHeight="1" outlineLevel="1">
      <c r="A327" s="932"/>
      <c r="B327" s="1087"/>
      <c r="C327" s="1096"/>
      <c r="D327" s="1092"/>
      <c r="E327" s="1092"/>
      <c r="F327" s="1094"/>
      <c r="G327" s="103"/>
      <c r="H327" s="101"/>
      <c r="I327" s="1092"/>
      <c r="J327" s="1085"/>
      <c r="K327" s="1085"/>
      <c r="L327" s="932"/>
      <c r="M327" s="932"/>
    </row>
    <row r="328" spans="1:13" s="106" customFormat="1" ht="15.75" hidden="1" customHeight="1" outlineLevel="1">
      <c r="A328" s="932"/>
      <c r="B328" s="1086">
        <v>106</v>
      </c>
      <c r="C328" s="1095"/>
      <c r="D328" s="1091"/>
      <c r="E328" s="1091" t="s">
        <v>20</v>
      </c>
      <c r="F328" s="1093" t="str">
        <f>VLOOKUP(E328,$N$13:$O$17,2,0)</f>
        <v>-</v>
      </c>
      <c r="G328" s="95"/>
      <c r="H328" s="93"/>
      <c r="I328" s="1091"/>
      <c r="J328" s="1083"/>
      <c r="K328" s="1083"/>
      <c r="L328" s="932"/>
      <c r="M328" s="932"/>
    </row>
    <row r="329" spans="1:13" s="106" customFormat="1" ht="15.75" hidden="1" customHeight="1" outlineLevel="1">
      <c r="A329" s="932"/>
      <c r="B329" s="1086"/>
      <c r="C329" s="1095"/>
      <c r="D329" s="1091"/>
      <c r="E329" s="1091"/>
      <c r="F329" s="1093"/>
      <c r="G329" s="98"/>
      <c r="H329" s="93"/>
      <c r="I329" s="1091"/>
      <c r="J329" s="1084"/>
      <c r="K329" s="1084"/>
      <c r="L329" s="932"/>
      <c r="M329" s="932"/>
    </row>
    <row r="330" spans="1:13" s="106" customFormat="1" ht="15.75" hidden="1" customHeight="1" outlineLevel="1">
      <c r="A330" s="932"/>
      <c r="B330" s="1087"/>
      <c r="C330" s="1096"/>
      <c r="D330" s="1092"/>
      <c r="E330" s="1092"/>
      <c r="F330" s="1094"/>
      <c r="G330" s="103"/>
      <c r="H330" s="101"/>
      <c r="I330" s="1092"/>
      <c r="J330" s="1085"/>
      <c r="K330" s="1085"/>
      <c r="L330" s="932"/>
      <c r="M330" s="932"/>
    </row>
    <row r="331" spans="1:13" s="106" customFormat="1" ht="15.75" hidden="1" customHeight="1" outlineLevel="1">
      <c r="A331" s="932"/>
      <c r="B331" s="1086">
        <v>107</v>
      </c>
      <c r="C331" s="1095"/>
      <c r="D331" s="1091"/>
      <c r="E331" s="1091" t="s">
        <v>20</v>
      </c>
      <c r="F331" s="1093" t="str">
        <f>VLOOKUP(E331,$N$13:$O$17,2,0)</f>
        <v>-</v>
      </c>
      <c r="G331" s="95"/>
      <c r="H331" s="93"/>
      <c r="I331" s="1091"/>
      <c r="J331" s="1083"/>
      <c r="K331" s="1083"/>
      <c r="L331" s="932"/>
      <c r="M331" s="932"/>
    </row>
    <row r="332" spans="1:13" s="106" customFormat="1" ht="15.75" hidden="1" customHeight="1" outlineLevel="1">
      <c r="A332" s="932"/>
      <c r="B332" s="1086"/>
      <c r="C332" s="1095"/>
      <c r="D332" s="1091"/>
      <c r="E332" s="1091"/>
      <c r="F332" s="1093"/>
      <c r="G332" s="98"/>
      <c r="H332" s="93"/>
      <c r="I332" s="1091"/>
      <c r="J332" s="1084"/>
      <c r="K332" s="1084"/>
      <c r="L332" s="932"/>
      <c r="M332" s="932"/>
    </row>
    <row r="333" spans="1:13" s="106" customFormat="1" ht="15.75" hidden="1" customHeight="1" outlineLevel="1">
      <c r="A333" s="932"/>
      <c r="B333" s="1087"/>
      <c r="C333" s="1096"/>
      <c r="D333" s="1092"/>
      <c r="E333" s="1092"/>
      <c r="F333" s="1094"/>
      <c r="G333" s="103"/>
      <c r="H333" s="101"/>
      <c r="I333" s="1092"/>
      <c r="J333" s="1085"/>
      <c r="K333" s="1085"/>
      <c r="L333" s="932"/>
      <c r="M333" s="932"/>
    </row>
    <row r="334" spans="1:13" s="106" customFormat="1" ht="15.75" hidden="1" customHeight="1" outlineLevel="1">
      <c r="A334" s="932"/>
      <c r="B334" s="1086">
        <v>108</v>
      </c>
      <c r="C334" s="1095"/>
      <c r="D334" s="1091"/>
      <c r="E334" s="1091" t="s">
        <v>20</v>
      </c>
      <c r="F334" s="1093" t="str">
        <f>VLOOKUP(E334,$N$13:$O$17,2,0)</f>
        <v>-</v>
      </c>
      <c r="G334" s="95"/>
      <c r="H334" s="93"/>
      <c r="I334" s="1091"/>
      <c r="J334" s="1083"/>
      <c r="K334" s="1083"/>
      <c r="L334" s="932"/>
      <c r="M334" s="932"/>
    </row>
    <row r="335" spans="1:13" s="106" customFormat="1" ht="15.75" hidden="1" customHeight="1" outlineLevel="1">
      <c r="A335" s="932"/>
      <c r="B335" s="1086"/>
      <c r="C335" s="1095"/>
      <c r="D335" s="1091"/>
      <c r="E335" s="1091"/>
      <c r="F335" s="1093"/>
      <c r="G335" s="98"/>
      <c r="H335" s="93"/>
      <c r="I335" s="1091"/>
      <c r="J335" s="1084"/>
      <c r="K335" s="1084"/>
      <c r="L335" s="932"/>
      <c r="M335" s="932"/>
    </row>
    <row r="336" spans="1:13" s="106" customFormat="1" ht="15.75" hidden="1" customHeight="1" outlineLevel="1">
      <c r="A336" s="932"/>
      <c r="B336" s="1087"/>
      <c r="C336" s="1096"/>
      <c r="D336" s="1092"/>
      <c r="E336" s="1092"/>
      <c r="F336" s="1094"/>
      <c r="G336" s="103"/>
      <c r="H336" s="101"/>
      <c r="I336" s="1092"/>
      <c r="J336" s="1085"/>
      <c r="K336" s="1085"/>
      <c r="L336" s="932"/>
      <c r="M336" s="932"/>
    </row>
    <row r="337" spans="1:13" s="106" customFormat="1" ht="15.75" hidden="1" customHeight="1" outlineLevel="1">
      <c r="A337" s="932"/>
      <c r="B337" s="1086">
        <v>109</v>
      </c>
      <c r="C337" s="1095"/>
      <c r="D337" s="1091"/>
      <c r="E337" s="1091" t="s">
        <v>20</v>
      </c>
      <c r="F337" s="1093" t="str">
        <f>VLOOKUP(E337,$N$13:$O$17,2,0)</f>
        <v>-</v>
      </c>
      <c r="G337" s="95"/>
      <c r="H337" s="93"/>
      <c r="I337" s="1091"/>
      <c r="J337" s="1083"/>
      <c r="K337" s="1083"/>
      <c r="L337" s="932"/>
      <c r="M337" s="932"/>
    </row>
    <row r="338" spans="1:13" s="106" customFormat="1" ht="15.75" hidden="1" customHeight="1" outlineLevel="1">
      <c r="A338" s="932"/>
      <c r="B338" s="1086"/>
      <c r="C338" s="1095"/>
      <c r="D338" s="1091"/>
      <c r="E338" s="1091"/>
      <c r="F338" s="1093"/>
      <c r="G338" s="98"/>
      <c r="H338" s="93"/>
      <c r="I338" s="1091"/>
      <c r="J338" s="1084"/>
      <c r="K338" s="1084"/>
      <c r="L338" s="932"/>
      <c r="M338" s="932"/>
    </row>
    <row r="339" spans="1:13" s="106" customFormat="1" ht="15.75" hidden="1" customHeight="1" outlineLevel="1">
      <c r="A339" s="932"/>
      <c r="B339" s="1087"/>
      <c r="C339" s="1096"/>
      <c r="D339" s="1092"/>
      <c r="E339" s="1092"/>
      <c r="F339" s="1094"/>
      <c r="G339" s="103"/>
      <c r="H339" s="101"/>
      <c r="I339" s="1092"/>
      <c r="J339" s="1085"/>
      <c r="K339" s="1085"/>
      <c r="L339" s="932"/>
      <c r="M339" s="932"/>
    </row>
    <row r="340" spans="1:13" s="106" customFormat="1" ht="15.75" hidden="1" customHeight="1" outlineLevel="1">
      <c r="A340" s="932"/>
      <c r="B340" s="1086">
        <v>110</v>
      </c>
      <c r="C340" s="1095"/>
      <c r="D340" s="1091"/>
      <c r="E340" s="1091" t="s">
        <v>20</v>
      </c>
      <c r="F340" s="1093" t="str">
        <f>VLOOKUP(E340,$N$13:$O$17,2,0)</f>
        <v>-</v>
      </c>
      <c r="G340" s="95"/>
      <c r="H340" s="93"/>
      <c r="I340" s="1091"/>
      <c r="J340" s="1083"/>
      <c r="K340" s="1083"/>
      <c r="L340" s="932"/>
      <c r="M340" s="932"/>
    </row>
    <row r="341" spans="1:13" s="106" customFormat="1" ht="15.75" hidden="1" customHeight="1" outlineLevel="1">
      <c r="A341" s="932"/>
      <c r="B341" s="1086"/>
      <c r="C341" s="1095"/>
      <c r="D341" s="1091"/>
      <c r="E341" s="1091"/>
      <c r="F341" s="1093"/>
      <c r="G341" s="98"/>
      <c r="H341" s="93"/>
      <c r="I341" s="1091"/>
      <c r="J341" s="1084"/>
      <c r="K341" s="1084"/>
      <c r="L341" s="932"/>
      <c r="M341" s="932"/>
    </row>
    <row r="342" spans="1:13" s="106" customFormat="1" ht="15.75" hidden="1" customHeight="1" outlineLevel="1">
      <c r="A342" s="932"/>
      <c r="B342" s="1087"/>
      <c r="C342" s="1096"/>
      <c r="D342" s="1092"/>
      <c r="E342" s="1092"/>
      <c r="F342" s="1094"/>
      <c r="G342" s="103"/>
      <c r="H342" s="101"/>
      <c r="I342" s="1092"/>
      <c r="J342" s="1085"/>
      <c r="K342" s="1085"/>
      <c r="L342" s="932"/>
      <c r="M342" s="932"/>
    </row>
    <row r="343" spans="1:13" s="106" customFormat="1" ht="15.75" hidden="1" customHeight="1" outlineLevel="1">
      <c r="A343" s="932"/>
      <c r="B343" s="1086">
        <v>111</v>
      </c>
      <c r="C343" s="1095"/>
      <c r="D343" s="1091"/>
      <c r="E343" s="1091" t="s">
        <v>20</v>
      </c>
      <c r="F343" s="1093" t="str">
        <f>VLOOKUP(E343,$N$13:$O$17,2,0)</f>
        <v>-</v>
      </c>
      <c r="G343" s="95"/>
      <c r="H343" s="93"/>
      <c r="I343" s="1091"/>
      <c r="J343" s="1083"/>
      <c r="K343" s="1083"/>
      <c r="L343" s="932"/>
      <c r="M343" s="932"/>
    </row>
    <row r="344" spans="1:13" s="106" customFormat="1" ht="15.75" hidden="1" customHeight="1" outlineLevel="1">
      <c r="A344" s="932"/>
      <c r="B344" s="1086"/>
      <c r="C344" s="1095"/>
      <c r="D344" s="1091"/>
      <c r="E344" s="1091"/>
      <c r="F344" s="1093"/>
      <c r="G344" s="98"/>
      <c r="H344" s="93"/>
      <c r="I344" s="1091"/>
      <c r="J344" s="1084"/>
      <c r="K344" s="1084"/>
      <c r="L344" s="932"/>
      <c r="M344" s="932"/>
    </row>
    <row r="345" spans="1:13" s="106" customFormat="1" ht="15.75" hidden="1" customHeight="1" outlineLevel="1">
      <c r="A345" s="932"/>
      <c r="B345" s="1087"/>
      <c r="C345" s="1096"/>
      <c r="D345" s="1092"/>
      <c r="E345" s="1092"/>
      <c r="F345" s="1094"/>
      <c r="G345" s="103"/>
      <c r="H345" s="101"/>
      <c r="I345" s="1092"/>
      <c r="J345" s="1085"/>
      <c r="K345" s="1085"/>
      <c r="L345" s="932"/>
      <c r="M345" s="932"/>
    </row>
    <row r="346" spans="1:13" s="106" customFormat="1" ht="15.75" hidden="1" customHeight="1" outlineLevel="1">
      <c r="A346" s="932"/>
      <c r="B346" s="1086">
        <v>112</v>
      </c>
      <c r="C346" s="1095"/>
      <c r="D346" s="1091"/>
      <c r="E346" s="1091" t="s">
        <v>20</v>
      </c>
      <c r="F346" s="1093" t="str">
        <f>VLOOKUP(E346,$N$13:$O$17,2,0)</f>
        <v>-</v>
      </c>
      <c r="G346" s="95"/>
      <c r="H346" s="93"/>
      <c r="I346" s="1091"/>
      <c r="J346" s="1083"/>
      <c r="K346" s="1083"/>
      <c r="L346" s="932"/>
      <c r="M346" s="932"/>
    </row>
    <row r="347" spans="1:13" s="106" customFormat="1" ht="15.75" hidden="1" customHeight="1" outlineLevel="1">
      <c r="A347" s="932"/>
      <c r="B347" s="1086"/>
      <c r="C347" s="1095"/>
      <c r="D347" s="1091"/>
      <c r="E347" s="1091"/>
      <c r="F347" s="1093"/>
      <c r="G347" s="98"/>
      <c r="H347" s="93"/>
      <c r="I347" s="1091"/>
      <c r="J347" s="1084"/>
      <c r="K347" s="1084"/>
      <c r="L347" s="932"/>
      <c r="M347" s="932"/>
    </row>
    <row r="348" spans="1:13" s="106" customFormat="1" ht="15.75" hidden="1" customHeight="1" outlineLevel="1">
      <c r="A348" s="932"/>
      <c r="B348" s="1087"/>
      <c r="C348" s="1096"/>
      <c r="D348" s="1092"/>
      <c r="E348" s="1092"/>
      <c r="F348" s="1094"/>
      <c r="G348" s="103"/>
      <c r="H348" s="101"/>
      <c r="I348" s="1092"/>
      <c r="J348" s="1085"/>
      <c r="K348" s="1085"/>
      <c r="L348" s="932"/>
      <c r="M348" s="932"/>
    </row>
    <row r="349" spans="1:13" s="106" customFormat="1" ht="15.75" hidden="1" customHeight="1" outlineLevel="1">
      <c r="A349" s="932"/>
      <c r="B349" s="1086">
        <v>113</v>
      </c>
      <c r="C349" s="1095"/>
      <c r="D349" s="1091"/>
      <c r="E349" s="1091" t="s">
        <v>20</v>
      </c>
      <c r="F349" s="1093" t="str">
        <f>VLOOKUP(E349,$N$13:$O$17,2,0)</f>
        <v>-</v>
      </c>
      <c r="G349" s="95"/>
      <c r="H349" s="93"/>
      <c r="I349" s="1091"/>
      <c r="J349" s="1083"/>
      <c r="K349" s="1083"/>
      <c r="L349" s="932"/>
      <c r="M349" s="932"/>
    </row>
    <row r="350" spans="1:13" s="106" customFormat="1" ht="15.75" hidden="1" customHeight="1" outlineLevel="1">
      <c r="A350" s="932"/>
      <c r="B350" s="1086"/>
      <c r="C350" s="1095"/>
      <c r="D350" s="1091"/>
      <c r="E350" s="1091"/>
      <c r="F350" s="1093"/>
      <c r="G350" s="98"/>
      <c r="H350" s="93"/>
      <c r="I350" s="1091"/>
      <c r="J350" s="1084"/>
      <c r="K350" s="1084"/>
      <c r="L350" s="932"/>
      <c r="M350" s="932"/>
    </row>
    <row r="351" spans="1:13" s="106" customFormat="1" ht="15.75" hidden="1" customHeight="1" outlineLevel="1">
      <c r="A351" s="932"/>
      <c r="B351" s="1087"/>
      <c r="C351" s="1096"/>
      <c r="D351" s="1092"/>
      <c r="E351" s="1092"/>
      <c r="F351" s="1094"/>
      <c r="G351" s="103"/>
      <c r="H351" s="101"/>
      <c r="I351" s="1092"/>
      <c r="J351" s="1085"/>
      <c r="K351" s="1085"/>
      <c r="L351" s="932"/>
      <c r="M351" s="932"/>
    </row>
    <row r="352" spans="1:13" s="106" customFormat="1" ht="15.75" hidden="1" customHeight="1" outlineLevel="1">
      <c r="A352" s="932"/>
      <c r="B352" s="1086">
        <v>114</v>
      </c>
      <c r="C352" s="1095"/>
      <c r="D352" s="1091"/>
      <c r="E352" s="1091" t="s">
        <v>20</v>
      </c>
      <c r="F352" s="1093" t="str">
        <f>VLOOKUP(E352,$N$13:$O$17,2,0)</f>
        <v>-</v>
      </c>
      <c r="G352" s="95"/>
      <c r="H352" s="93"/>
      <c r="I352" s="1091"/>
      <c r="J352" s="1083"/>
      <c r="K352" s="1083"/>
      <c r="L352" s="932"/>
      <c r="M352" s="932"/>
    </row>
    <row r="353" spans="1:13" s="106" customFormat="1" ht="15.75" hidden="1" customHeight="1" outlineLevel="1">
      <c r="A353" s="932"/>
      <c r="B353" s="1086"/>
      <c r="C353" s="1095"/>
      <c r="D353" s="1091"/>
      <c r="E353" s="1091"/>
      <c r="F353" s="1093"/>
      <c r="G353" s="98"/>
      <c r="H353" s="93"/>
      <c r="I353" s="1091"/>
      <c r="J353" s="1084"/>
      <c r="K353" s="1084"/>
      <c r="L353" s="932"/>
      <c r="M353" s="932"/>
    </row>
    <row r="354" spans="1:13" s="106" customFormat="1" ht="15.75" hidden="1" customHeight="1" outlineLevel="1">
      <c r="A354" s="932"/>
      <c r="B354" s="1087"/>
      <c r="C354" s="1096"/>
      <c r="D354" s="1092"/>
      <c r="E354" s="1092"/>
      <c r="F354" s="1094"/>
      <c r="G354" s="103"/>
      <c r="H354" s="101"/>
      <c r="I354" s="1092"/>
      <c r="J354" s="1085"/>
      <c r="K354" s="1085"/>
      <c r="L354" s="932"/>
      <c r="M354" s="932"/>
    </row>
    <row r="355" spans="1:13" s="106" customFormat="1" ht="15.75" hidden="1" customHeight="1" outlineLevel="1">
      <c r="A355" s="932"/>
      <c r="B355" s="1086">
        <v>115</v>
      </c>
      <c r="C355" s="1095"/>
      <c r="D355" s="1091"/>
      <c r="E355" s="1091" t="s">
        <v>20</v>
      </c>
      <c r="F355" s="1093" t="str">
        <f>VLOOKUP(E355,$N$13:$O$17,2,0)</f>
        <v>-</v>
      </c>
      <c r="G355" s="95"/>
      <c r="H355" s="93"/>
      <c r="I355" s="1091"/>
      <c r="J355" s="1083"/>
      <c r="K355" s="1083"/>
      <c r="L355" s="932"/>
      <c r="M355" s="932"/>
    </row>
    <row r="356" spans="1:13" s="106" customFormat="1" ht="15.75" hidden="1" customHeight="1" outlineLevel="1">
      <c r="A356" s="932"/>
      <c r="B356" s="1086"/>
      <c r="C356" s="1095"/>
      <c r="D356" s="1091"/>
      <c r="E356" s="1091"/>
      <c r="F356" s="1093"/>
      <c r="G356" s="98"/>
      <c r="H356" s="93"/>
      <c r="I356" s="1091"/>
      <c r="J356" s="1084"/>
      <c r="K356" s="1084"/>
      <c r="L356" s="932"/>
      <c r="M356" s="932"/>
    </row>
    <row r="357" spans="1:13" s="106" customFormat="1" ht="15.75" hidden="1" customHeight="1" outlineLevel="1">
      <c r="A357" s="932"/>
      <c r="B357" s="1087"/>
      <c r="C357" s="1096"/>
      <c r="D357" s="1092"/>
      <c r="E357" s="1092"/>
      <c r="F357" s="1094"/>
      <c r="G357" s="103"/>
      <c r="H357" s="101"/>
      <c r="I357" s="1092"/>
      <c r="J357" s="1085"/>
      <c r="K357" s="1085"/>
      <c r="L357" s="932"/>
      <c r="M357" s="932"/>
    </row>
    <row r="358" spans="1:13" s="106" customFormat="1" ht="15.75" hidden="1" customHeight="1" outlineLevel="1">
      <c r="A358" s="932"/>
      <c r="B358" s="1086">
        <v>116</v>
      </c>
      <c r="C358" s="1095"/>
      <c r="D358" s="1091"/>
      <c r="E358" s="1091" t="s">
        <v>20</v>
      </c>
      <c r="F358" s="1093" t="str">
        <f>VLOOKUP(E358,$N$13:$O$17,2,0)</f>
        <v>-</v>
      </c>
      <c r="G358" s="95"/>
      <c r="H358" s="93"/>
      <c r="I358" s="1091"/>
      <c r="J358" s="1083"/>
      <c r="K358" s="1083"/>
      <c r="L358" s="932"/>
      <c r="M358" s="932"/>
    </row>
    <row r="359" spans="1:13" s="106" customFormat="1" ht="15.75" hidden="1" customHeight="1" outlineLevel="1">
      <c r="A359" s="932"/>
      <c r="B359" s="1086"/>
      <c r="C359" s="1095"/>
      <c r="D359" s="1091"/>
      <c r="E359" s="1091"/>
      <c r="F359" s="1093"/>
      <c r="G359" s="98"/>
      <c r="H359" s="93"/>
      <c r="I359" s="1091"/>
      <c r="J359" s="1084"/>
      <c r="K359" s="1084"/>
      <c r="L359" s="932"/>
      <c r="M359" s="932"/>
    </row>
    <row r="360" spans="1:13" s="106" customFormat="1" ht="15.75" hidden="1" customHeight="1" outlineLevel="1">
      <c r="A360" s="932"/>
      <c r="B360" s="1087"/>
      <c r="C360" s="1096"/>
      <c r="D360" s="1092"/>
      <c r="E360" s="1092"/>
      <c r="F360" s="1094"/>
      <c r="G360" s="103"/>
      <c r="H360" s="101"/>
      <c r="I360" s="1092"/>
      <c r="J360" s="1085"/>
      <c r="K360" s="1085"/>
      <c r="L360" s="932"/>
      <c r="M360" s="932"/>
    </row>
    <row r="361" spans="1:13" s="106" customFormat="1" ht="15.75" hidden="1" customHeight="1" outlineLevel="1">
      <c r="A361" s="932"/>
      <c r="B361" s="1086">
        <v>117</v>
      </c>
      <c r="C361" s="1095"/>
      <c r="D361" s="1091"/>
      <c r="E361" s="1091" t="s">
        <v>20</v>
      </c>
      <c r="F361" s="1093" t="str">
        <f>VLOOKUP(E361,$N$13:$O$17,2,0)</f>
        <v>-</v>
      </c>
      <c r="G361" s="95"/>
      <c r="H361" s="93"/>
      <c r="I361" s="1091"/>
      <c r="J361" s="1083"/>
      <c r="K361" s="1083"/>
      <c r="L361" s="932"/>
      <c r="M361" s="932"/>
    </row>
    <row r="362" spans="1:13" s="106" customFormat="1" ht="15.75" hidden="1" customHeight="1" outlineLevel="1">
      <c r="A362" s="932"/>
      <c r="B362" s="1086"/>
      <c r="C362" s="1095"/>
      <c r="D362" s="1091"/>
      <c r="E362" s="1091"/>
      <c r="F362" s="1093"/>
      <c r="G362" s="98"/>
      <c r="H362" s="93"/>
      <c r="I362" s="1091"/>
      <c r="J362" s="1084"/>
      <c r="K362" s="1084"/>
      <c r="L362" s="932"/>
      <c r="M362" s="932"/>
    </row>
    <row r="363" spans="1:13" s="106" customFormat="1" ht="15.75" hidden="1" customHeight="1" outlineLevel="1">
      <c r="A363" s="932"/>
      <c r="B363" s="1087"/>
      <c r="C363" s="1096"/>
      <c r="D363" s="1092"/>
      <c r="E363" s="1092"/>
      <c r="F363" s="1094"/>
      <c r="G363" s="103"/>
      <c r="H363" s="101"/>
      <c r="I363" s="1092"/>
      <c r="J363" s="1085"/>
      <c r="K363" s="1085"/>
      <c r="L363" s="932"/>
      <c r="M363" s="932"/>
    </row>
    <row r="364" spans="1:13" s="106" customFormat="1" ht="15.75" hidden="1" customHeight="1" outlineLevel="1">
      <c r="A364" s="932"/>
      <c r="B364" s="1086">
        <v>118</v>
      </c>
      <c r="C364" s="1095"/>
      <c r="D364" s="1091"/>
      <c r="E364" s="1091" t="s">
        <v>20</v>
      </c>
      <c r="F364" s="1093" t="str">
        <f>VLOOKUP(E364,$N$13:$O$17,2,0)</f>
        <v>-</v>
      </c>
      <c r="G364" s="95"/>
      <c r="H364" s="93"/>
      <c r="I364" s="1091"/>
      <c r="J364" s="1083"/>
      <c r="K364" s="1083"/>
      <c r="L364" s="932"/>
      <c r="M364" s="932"/>
    </row>
    <row r="365" spans="1:13" s="106" customFormat="1" ht="15.75" hidden="1" customHeight="1" outlineLevel="1">
      <c r="A365" s="932"/>
      <c r="B365" s="1086"/>
      <c r="C365" s="1095"/>
      <c r="D365" s="1091"/>
      <c r="E365" s="1091"/>
      <c r="F365" s="1093"/>
      <c r="G365" s="98"/>
      <c r="H365" s="93"/>
      <c r="I365" s="1091"/>
      <c r="J365" s="1084"/>
      <c r="K365" s="1084"/>
      <c r="L365" s="932"/>
      <c r="M365" s="932"/>
    </row>
    <row r="366" spans="1:13" s="106" customFormat="1" ht="15.75" hidden="1" customHeight="1" outlineLevel="1">
      <c r="A366" s="932"/>
      <c r="B366" s="1087"/>
      <c r="C366" s="1096"/>
      <c r="D366" s="1092"/>
      <c r="E366" s="1092"/>
      <c r="F366" s="1094"/>
      <c r="G366" s="103"/>
      <c r="H366" s="101"/>
      <c r="I366" s="1092"/>
      <c r="J366" s="1085"/>
      <c r="K366" s="1085"/>
      <c r="L366" s="932"/>
      <c r="M366" s="932"/>
    </row>
    <row r="367" spans="1:13" s="106" customFormat="1" ht="15.75" hidden="1" customHeight="1" outlineLevel="1">
      <c r="A367" s="932"/>
      <c r="B367" s="1086">
        <v>119</v>
      </c>
      <c r="C367" s="1095"/>
      <c r="D367" s="1091"/>
      <c r="E367" s="1091" t="s">
        <v>20</v>
      </c>
      <c r="F367" s="1093" t="str">
        <f>VLOOKUP(E367,$N$13:$O$17,2,0)</f>
        <v>-</v>
      </c>
      <c r="G367" s="95"/>
      <c r="H367" s="93"/>
      <c r="I367" s="1091"/>
      <c r="J367" s="1083"/>
      <c r="K367" s="1083"/>
      <c r="L367" s="932"/>
      <c r="M367" s="932"/>
    </row>
    <row r="368" spans="1:13" s="106" customFormat="1" ht="15.75" hidden="1" customHeight="1" outlineLevel="1">
      <c r="A368" s="932"/>
      <c r="B368" s="1086"/>
      <c r="C368" s="1095"/>
      <c r="D368" s="1091"/>
      <c r="E368" s="1091"/>
      <c r="F368" s="1093"/>
      <c r="G368" s="98"/>
      <c r="H368" s="93"/>
      <c r="I368" s="1091"/>
      <c r="J368" s="1084"/>
      <c r="K368" s="1084"/>
      <c r="L368" s="932"/>
      <c r="M368" s="932"/>
    </row>
    <row r="369" spans="1:13" s="106" customFormat="1" ht="15.75" hidden="1" customHeight="1" outlineLevel="1">
      <c r="A369" s="932"/>
      <c r="B369" s="1087"/>
      <c r="C369" s="1096"/>
      <c r="D369" s="1092"/>
      <c r="E369" s="1092"/>
      <c r="F369" s="1094"/>
      <c r="G369" s="103"/>
      <c r="H369" s="101"/>
      <c r="I369" s="1092"/>
      <c r="J369" s="1085"/>
      <c r="K369" s="1085"/>
      <c r="L369" s="932"/>
      <c r="M369" s="932"/>
    </row>
    <row r="370" spans="1:13" s="106" customFormat="1" ht="15.75" hidden="1" customHeight="1" outlineLevel="1">
      <c r="A370" s="932"/>
      <c r="B370" s="1086">
        <v>120</v>
      </c>
      <c r="C370" s="1095"/>
      <c r="D370" s="1091"/>
      <c r="E370" s="1091" t="s">
        <v>20</v>
      </c>
      <c r="F370" s="1093" t="str">
        <f>VLOOKUP(E370,$N$13:$O$17,2,0)</f>
        <v>-</v>
      </c>
      <c r="G370" s="95"/>
      <c r="H370" s="93"/>
      <c r="I370" s="1091"/>
      <c r="J370" s="1083"/>
      <c r="K370" s="1083"/>
      <c r="L370" s="932"/>
      <c r="M370" s="932"/>
    </row>
    <row r="371" spans="1:13" s="106" customFormat="1" ht="15.75" hidden="1" customHeight="1" outlineLevel="1">
      <c r="A371" s="932"/>
      <c r="B371" s="1086"/>
      <c r="C371" s="1095"/>
      <c r="D371" s="1091"/>
      <c r="E371" s="1091"/>
      <c r="F371" s="1093"/>
      <c r="G371" s="98"/>
      <c r="H371" s="93"/>
      <c r="I371" s="1091"/>
      <c r="J371" s="1084"/>
      <c r="K371" s="1084"/>
      <c r="L371" s="932"/>
      <c r="M371" s="932"/>
    </row>
    <row r="372" spans="1:13" s="106" customFormat="1" ht="15.75" hidden="1" customHeight="1" outlineLevel="1">
      <c r="A372" s="932"/>
      <c r="B372" s="1087"/>
      <c r="C372" s="1096"/>
      <c r="D372" s="1092"/>
      <c r="E372" s="1092"/>
      <c r="F372" s="1094"/>
      <c r="G372" s="103"/>
      <c r="H372" s="101"/>
      <c r="I372" s="1092"/>
      <c r="J372" s="1085"/>
      <c r="K372" s="1085"/>
      <c r="L372" s="932"/>
      <c r="M372" s="932"/>
    </row>
    <row r="373" spans="1:13" s="106" customFormat="1" ht="15.75" hidden="1" customHeight="1" outlineLevel="1">
      <c r="A373" s="932"/>
      <c r="B373" s="1086">
        <v>121</v>
      </c>
      <c r="C373" s="1095"/>
      <c r="D373" s="1091"/>
      <c r="E373" s="1091" t="s">
        <v>20</v>
      </c>
      <c r="F373" s="1093" t="str">
        <f>VLOOKUP(E373,$N$13:$O$17,2,0)</f>
        <v>-</v>
      </c>
      <c r="G373" s="95"/>
      <c r="H373" s="93"/>
      <c r="I373" s="1091"/>
      <c r="J373" s="1083"/>
      <c r="K373" s="1083"/>
      <c r="L373" s="932"/>
      <c r="M373" s="932"/>
    </row>
    <row r="374" spans="1:13" s="106" customFormat="1" ht="15.75" hidden="1" customHeight="1" outlineLevel="1">
      <c r="A374" s="932"/>
      <c r="B374" s="1086"/>
      <c r="C374" s="1095"/>
      <c r="D374" s="1091"/>
      <c r="E374" s="1091"/>
      <c r="F374" s="1093"/>
      <c r="G374" s="98"/>
      <c r="H374" s="93"/>
      <c r="I374" s="1091"/>
      <c r="J374" s="1084"/>
      <c r="K374" s="1084"/>
      <c r="L374" s="932"/>
      <c r="M374" s="932"/>
    </row>
    <row r="375" spans="1:13" s="106" customFormat="1" ht="15.75" hidden="1" customHeight="1" outlineLevel="1">
      <c r="A375" s="932"/>
      <c r="B375" s="1087"/>
      <c r="C375" s="1096"/>
      <c r="D375" s="1092"/>
      <c r="E375" s="1092"/>
      <c r="F375" s="1094"/>
      <c r="G375" s="103"/>
      <c r="H375" s="101"/>
      <c r="I375" s="1092"/>
      <c r="J375" s="1085"/>
      <c r="K375" s="1085"/>
      <c r="L375" s="932"/>
      <c r="M375" s="932"/>
    </row>
    <row r="376" spans="1:13" s="106" customFormat="1" ht="15.75" hidden="1" customHeight="1" outlineLevel="1">
      <c r="A376" s="932"/>
      <c r="B376" s="1086">
        <v>122</v>
      </c>
      <c r="C376" s="1095"/>
      <c r="D376" s="1091"/>
      <c r="E376" s="1091" t="s">
        <v>20</v>
      </c>
      <c r="F376" s="1093" t="str">
        <f>VLOOKUP(E376,$N$13:$O$17,2,0)</f>
        <v>-</v>
      </c>
      <c r="G376" s="95"/>
      <c r="H376" s="93"/>
      <c r="I376" s="1091"/>
      <c r="J376" s="1083"/>
      <c r="K376" s="1083"/>
      <c r="L376" s="932"/>
      <c r="M376" s="932"/>
    </row>
    <row r="377" spans="1:13" s="106" customFormat="1" ht="15.75" hidden="1" customHeight="1" outlineLevel="1">
      <c r="A377" s="932"/>
      <c r="B377" s="1086"/>
      <c r="C377" s="1095"/>
      <c r="D377" s="1091"/>
      <c r="E377" s="1091"/>
      <c r="F377" s="1093"/>
      <c r="G377" s="98"/>
      <c r="H377" s="93"/>
      <c r="I377" s="1091"/>
      <c r="J377" s="1084"/>
      <c r="K377" s="1084"/>
      <c r="L377" s="932"/>
      <c r="M377" s="932"/>
    </row>
    <row r="378" spans="1:13" s="106" customFormat="1" ht="15.75" hidden="1" customHeight="1" outlineLevel="1">
      <c r="A378" s="932"/>
      <c r="B378" s="1087"/>
      <c r="C378" s="1096"/>
      <c r="D378" s="1092"/>
      <c r="E378" s="1092"/>
      <c r="F378" s="1094"/>
      <c r="G378" s="103"/>
      <c r="H378" s="101"/>
      <c r="I378" s="1092"/>
      <c r="J378" s="1085"/>
      <c r="K378" s="1085"/>
      <c r="L378" s="932"/>
      <c r="M378" s="932"/>
    </row>
    <row r="379" spans="1:13" s="106" customFormat="1" ht="15.75" hidden="1" customHeight="1" outlineLevel="1">
      <c r="A379" s="932"/>
      <c r="B379" s="1086">
        <v>123</v>
      </c>
      <c r="C379" s="1095"/>
      <c r="D379" s="1091"/>
      <c r="E379" s="1091" t="s">
        <v>20</v>
      </c>
      <c r="F379" s="1093" t="str">
        <f>VLOOKUP(E379,$N$13:$O$17,2,0)</f>
        <v>-</v>
      </c>
      <c r="G379" s="95"/>
      <c r="H379" s="93"/>
      <c r="I379" s="1091"/>
      <c r="J379" s="1083"/>
      <c r="K379" s="1083"/>
      <c r="L379" s="932"/>
      <c r="M379" s="932"/>
    </row>
    <row r="380" spans="1:13" s="106" customFormat="1" ht="15.75" hidden="1" customHeight="1" outlineLevel="1">
      <c r="A380" s="932"/>
      <c r="B380" s="1086"/>
      <c r="C380" s="1095"/>
      <c r="D380" s="1091"/>
      <c r="E380" s="1091"/>
      <c r="F380" s="1093"/>
      <c r="G380" s="98"/>
      <c r="H380" s="93"/>
      <c r="I380" s="1091"/>
      <c r="J380" s="1084"/>
      <c r="K380" s="1084"/>
      <c r="L380" s="932"/>
      <c r="M380" s="932"/>
    </row>
    <row r="381" spans="1:13" s="106" customFormat="1" ht="15.75" hidden="1" customHeight="1" outlineLevel="1">
      <c r="A381" s="932"/>
      <c r="B381" s="1087"/>
      <c r="C381" s="1096"/>
      <c r="D381" s="1092"/>
      <c r="E381" s="1092"/>
      <c r="F381" s="1094"/>
      <c r="G381" s="103"/>
      <c r="H381" s="101"/>
      <c r="I381" s="1092"/>
      <c r="J381" s="1085"/>
      <c r="K381" s="1085"/>
      <c r="L381" s="932"/>
      <c r="M381" s="932"/>
    </row>
    <row r="382" spans="1:13" s="106" customFormat="1" ht="15.75" hidden="1" customHeight="1" outlineLevel="1">
      <c r="A382" s="932"/>
      <c r="B382" s="1086">
        <v>124</v>
      </c>
      <c r="C382" s="1095"/>
      <c r="D382" s="1091"/>
      <c r="E382" s="1091" t="s">
        <v>20</v>
      </c>
      <c r="F382" s="1093" t="str">
        <f>VLOOKUP(E382,$N$13:$O$17,2,0)</f>
        <v>-</v>
      </c>
      <c r="G382" s="95"/>
      <c r="H382" s="93"/>
      <c r="I382" s="1091"/>
      <c r="J382" s="1083"/>
      <c r="K382" s="1083"/>
      <c r="L382" s="932"/>
      <c r="M382" s="932"/>
    </row>
    <row r="383" spans="1:13" s="106" customFormat="1" ht="15.75" hidden="1" customHeight="1" outlineLevel="1">
      <c r="A383" s="932"/>
      <c r="B383" s="1086"/>
      <c r="C383" s="1095"/>
      <c r="D383" s="1091"/>
      <c r="E383" s="1091"/>
      <c r="F383" s="1093"/>
      <c r="G383" s="98"/>
      <c r="H383" s="93"/>
      <c r="I383" s="1091"/>
      <c r="J383" s="1084"/>
      <c r="K383" s="1084"/>
      <c r="L383" s="932"/>
      <c r="M383" s="932"/>
    </row>
    <row r="384" spans="1:13" s="106" customFormat="1" ht="15.75" hidden="1" customHeight="1" outlineLevel="1">
      <c r="A384" s="932"/>
      <c r="B384" s="1087"/>
      <c r="C384" s="1096"/>
      <c r="D384" s="1092"/>
      <c r="E384" s="1092"/>
      <c r="F384" s="1094"/>
      <c r="G384" s="103"/>
      <c r="H384" s="101"/>
      <c r="I384" s="1092"/>
      <c r="J384" s="1085"/>
      <c r="K384" s="1085"/>
      <c r="L384" s="932"/>
      <c r="M384" s="932"/>
    </row>
    <row r="385" spans="1:13" s="106" customFormat="1" ht="15.75" hidden="1" customHeight="1" outlineLevel="1">
      <c r="A385" s="932"/>
      <c r="B385" s="1086">
        <v>125</v>
      </c>
      <c r="C385" s="1095"/>
      <c r="D385" s="1091"/>
      <c r="E385" s="1091" t="s">
        <v>20</v>
      </c>
      <c r="F385" s="1093" t="str">
        <f>VLOOKUP(E385,$N$13:$O$17,2,0)</f>
        <v>-</v>
      </c>
      <c r="G385" s="95"/>
      <c r="H385" s="93"/>
      <c r="I385" s="1091"/>
      <c r="J385" s="1083"/>
      <c r="K385" s="1083"/>
      <c r="L385" s="932"/>
      <c r="M385" s="932"/>
    </row>
    <row r="386" spans="1:13" s="106" customFormat="1" ht="15.75" hidden="1" customHeight="1" outlineLevel="1">
      <c r="A386" s="932"/>
      <c r="B386" s="1086"/>
      <c r="C386" s="1095"/>
      <c r="D386" s="1091"/>
      <c r="E386" s="1091"/>
      <c r="F386" s="1093"/>
      <c r="G386" s="98"/>
      <c r="H386" s="93"/>
      <c r="I386" s="1091"/>
      <c r="J386" s="1084"/>
      <c r="K386" s="1084"/>
      <c r="L386" s="932"/>
      <c r="M386" s="932"/>
    </row>
    <row r="387" spans="1:13" s="106" customFormat="1" ht="15.75" hidden="1" customHeight="1" outlineLevel="1">
      <c r="A387" s="932"/>
      <c r="B387" s="1087"/>
      <c r="C387" s="1096"/>
      <c r="D387" s="1092"/>
      <c r="E387" s="1092"/>
      <c r="F387" s="1094"/>
      <c r="G387" s="103"/>
      <c r="H387" s="101"/>
      <c r="I387" s="1092"/>
      <c r="J387" s="1085"/>
      <c r="K387" s="1085"/>
      <c r="L387" s="932"/>
      <c r="M387" s="932"/>
    </row>
    <row r="388" spans="1:13" s="106" customFormat="1" ht="15.75" hidden="1" customHeight="1" outlineLevel="1">
      <c r="A388" s="932"/>
      <c r="B388" s="1086">
        <v>126</v>
      </c>
      <c r="C388" s="1095"/>
      <c r="D388" s="1091"/>
      <c r="E388" s="1091" t="s">
        <v>20</v>
      </c>
      <c r="F388" s="1093" t="str">
        <f>VLOOKUP(E388,$N$13:$O$17,2,0)</f>
        <v>-</v>
      </c>
      <c r="G388" s="95"/>
      <c r="H388" s="93"/>
      <c r="I388" s="1091"/>
      <c r="J388" s="1083"/>
      <c r="K388" s="1083"/>
      <c r="L388" s="932"/>
      <c r="M388" s="932"/>
    </row>
    <row r="389" spans="1:13" s="106" customFormat="1" ht="15.75" hidden="1" customHeight="1" outlineLevel="1">
      <c r="A389" s="932"/>
      <c r="B389" s="1086"/>
      <c r="C389" s="1095"/>
      <c r="D389" s="1091"/>
      <c r="E389" s="1091"/>
      <c r="F389" s="1093"/>
      <c r="G389" s="98"/>
      <c r="H389" s="93"/>
      <c r="I389" s="1091"/>
      <c r="J389" s="1084"/>
      <c r="K389" s="1084"/>
      <c r="L389" s="932"/>
      <c r="M389" s="932"/>
    </row>
    <row r="390" spans="1:13" s="106" customFormat="1" ht="15.75" hidden="1" customHeight="1" outlineLevel="1">
      <c r="A390" s="932"/>
      <c r="B390" s="1087"/>
      <c r="C390" s="1096"/>
      <c r="D390" s="1092"/>
      <c r="E390" s="1092"/>
      <c r="F390" s="1094"/>
      <c r="G390" s="103"/>
      <c r="H390" s="101"/>
      <c r="I390" s="1092"/>
      <c r="J390" s="1085"/>
      <c r="K390" s="1085"/>
      <c r="L390" s="932"/>
      <c r="M390" s="932"/>
    </row>
    <row r="391" spans="1:13" s="106" customFormat="1" ht="15.75" hidden="1" customHeight="1" outlineLevel="1">
      <c r="A391" s="932"/>
      <c r="B391" s="1086">
        <v>127</v>
      </c>
      <c r="C391" s="1095"/>
      <c r="D391" s="1091"/>
      <c r="E391" s="1091" t="s">
        <v>20</v>
      </c>
      <c r="F391" s="1093" t="str">
        <f>VLOOKUP(E391,$N$13:$O$17,2,0)</f>
        <v>-</v>
      </c>
      <c r="G391" s="95"/>
      <c r="H391" s="93"/>
      <c r="I391" s="1091"/>
      <c r="J391" s="1083"/>
      <c r="K391" s="1083"/>
      <c r="L391" s="932"/>
      <c r="M391" s="932"/>
    </row>
    <row r="392" spans="1:13" s="106" customFormat="1" ht="15.75" hidden="1" customHeight="1" outlineLevel="1">
      <c r="A392" s="932"/>
      <c r="B392" s="1086"/>
      <c r="C392" s="1095"/>
      <c r="D392" s="1091"/>
      <c r="E392" s="1091"/>
      <c r="F392" s="1093"/>
      <c r="G392" s="98"/>
      <c r="H392" s="93"/>
      <c r="I392" s="1091"/>
      <c r="J392" s="1084"/>
      <c r="K392" s="1084"/>
      <c r="L392" s="932"/>
      <c r="M392" s="932"/>
    </row>
    <row r="393" spans="1:13" s="106" customFormat="1" ht="15.75" hidden="1" customHeight="1" outlineLevel="1">
      <c r="A393" s="932"/>
      <c r="B393" s="1087"/>
      <c r="C393" s="1096"/>
      <c r="D393" s="1092"/>
      <c r="E393" s="1092"/>
      <c r="F393" s="1094"/>
      <c r="G393" s="103"/>
      <c r="H393" s="101"/>
      <c r="I393" s="1092"/>
      <c r="J393" s="1085"/>
      <c r="K393" s="1085"/>
      <c r="L393" s="932"/>
      <c r="M393" s="932"/>
    </row>
    <row r="394" spans="1:13" s="106" customFormat="1" ht="15.75" hidden="1" customHeight="1" outlineLevel="1">
      <c r="A394" s="932"/>
      <c r="B394" s="1086">
        <v>128</v>
      </c>
      <c r="C394" s="1095"/>
      <c r="D394" s="1091"/>
      <c r="E394" s="1091" t="s">
        <v>20</v>
      </c>
      <c r="F394" s="1093" t="str">
        <f>VLOOKUP(E394,$N$13:$O$17,2,0)</f>
        <v>-</v>
      </c>
      <c r="G394" s="95"/>
      <c r="H394" s="93"/>
      <c r="I394" s="1091"/>
      <c r="J394" s="1083"/>
      <c r="K394" s="1083"/>
      <c r="L394" s="932"/>
      <c r="M394" s="932"/>
    </row>
    <row r="395" spans="1:13" s="106" customFormat="1" ht="15.75" hidden="1" customHeight="1" outlineLevel="1">
      <c r="A395" s="932"/>
      <c r="B395" s="1086"/>
      <c r="C395" s="1095"/>
      <c r="D395" s="1091"/>
      <c r="E395" s="1091"/>
      <c r="F395" s="1093"/>
      <c r="G395" s="98"/>
      <c r="H395" s="93"/>
      <c r="I395" s="1091"/>
      <c r="J395" s="1084"/>
      <c r="K395" s="1084"/>
      <c r="L395" s="932"/>
      <c r="M395" s="932"/>
    </row>
    <row r="396" spans="1:13" s="106" customFormat="1" ht="15.75" hidden="1" customHeight="1" outlineLevel="1">
      <c r="A396" s="932"/>
      <c r="B396" s="1087"/>
      <c r="C396" s="1096"/>
      <c r="D396" s="1092"/>
      <c r="E396" s="1092"/>
      <c r="F396" s="1094"/>
      <c r="G396" s="103"/>
      <c r="H396" s="101"/>
      <c r="I396" s="1092"/>
      <c r="J396" s="1085"/>
      <c r="K396" s="1085"/>
      <c r="L396" s="932"/>
      <c r="M396" s="932"/>
    </row>
    <row r="397" spans="1:13" s="106" customFormat="1" ht="15.75" hidden="1" customHeight="1" outlineLevel="1">
      <c r="A397" s="932"/>
      <c r="B397" s="1086">
        <v>129</v>
      </c>
      <c r="C397" s="1095"/>
      <c r="D397" s="1091"/>
      <c r="E397" s="1091" t="s">
        <v>20</v>
      </c>
      <c r="F397" s="1093" t="str">
        <f>VLOOKUP(E397,$N$13:$O$17,2,0)</f>
        <v>-</v>
      </c>
      <c r="G397" s="95"/>
      <c r="H397" s="93"/>
      <c r="I397" s="1091"/>
      <c r="J397" s="1083"/>
      <c r="K397" s="1083"/>
      <c r="L397" s="932"/>
      <c r="M397" s="932"/>
    </row>
    <row r="398" spans="1:13" s="106" customFormat="1" ht="15.75" hidden="1" customHeight="1" outlineLevel="1">
      <c r="A398" s="932"/>
      <c r="B398" s="1086"/>
      <c r="C398" s="1095"/>
      <c r="D398" s="1091"/>
      <c r="E398" s="1091"/>
      <c r="F398" s="1093"/>
      <c r="G398" s="98"/>
      <c r="H398" s="93"/>
      <c r="I398" s="1091"/>
      <c r="J398" s="1084"/>
      <c r="K398" s="1084"/>
      <c r="L398" s="932"/>
      <c r="M398" s="932"/>
    </row>
    <row r="399" spans="1:13" s="106" customFormat="1" ht="15.75" hidden="1" customHeight="1" outlineLevel="1">
      <c r="A399" s="932"/>
      <c r="B399" s="1087"/>
      <c r="C399" s="1096"/>
      <c r="D399" s="1092"/>
      <c r="E399" s="1092"/>
      <c r="F399" s="1094"/>
      <c r="G399" s="103"/>
      <c r="H399" s="101"/>
      <c r="I399" s="1092"/>
      <c r="J399" s="1085"/>
      <c r="K399" s="1085"/>
      <c r="L399" s="932"/>
      <c r="M399" s="932"/>
    </row>
    <row r="400" spans="1:13" s="106" customFormat="1" ht="15.75" hidden="1" customHeight="1" outlineLevel="1">
      <c r="A400" s="932"/>
      <c r="B400" s="1086">
        <v>130</v>
      </c>
      <c r="C400" s="1095"/>
      <c r="D400" s="1091"/>
      <c r="E400" s="1091" t="s">
        <v>20</v>
      </c>
      <c r="F400" s="1093" t="str">
        <f>VLOOKUP(E400,$N$13:$O$17,2,0)</f>
        <v>-</v>
      </c>
      <c r="G400" s="95"/>
      <c r="H400" s="93"/>
      <c r="I400" s="1091"/>
      <c r="J400" s="1083"/>
      <c r="K400" s="1083"/>
      <c r="L400" s="932"/>
      <c r="M400" s="932"/>
    </row>
    <row r="401" spans="1:13" s="106" customFormat="1" ht="15.75" hidden="1" customHeight="1" outlineLevel="1">
      <c r="A401" s="932"/>
      <c r="B401" s="1086"/>
      <c r="C401" s="1095"/>
      <c r="D401" s="1091"/>
      <c r="E401" s="1091"/>
      <c r="F401" s="1093"/>
      <c r="G401" s="98"/>
      <c r="H401" s="93"/>
      <c r="I401" s="1091"/>
      <c r="J401" s="1084"/>
      <c r="K401" s="1084"/>
      <c r="L401" s="932"/>
      <c r="M401" s="932"/>
    </row>
    <row r="402" spans="1:13" s="106" customFormat="1" ht="15.75" hidden="1" customHeight="1" outlineLevel="1">
      <c r="A402" s="932"/>
      <c r="B402" s="1087"/>
      <c r="C402" s="1096"/>
      <c r="D402" s="1092"/>
      <c r="E402" s="1092"/>
      <c r="F402" s="1094"/>
      <c r="G402" s="103"/>
      <c r="H402" s="101"/>
      <c r="I402" s="1092"/>
      <c r="J402" s="1085"/>
      <c r="K402" s="1085"/>
      <c r="L402" s="932"/>
      <c r="M402" s="932"/>
    </row>
    <row r="403" spans="1:13" s="106" customFormat="1" ht="15.75" hidden="1" customHeight="1" outlineLevel="1">
      <c r="A403" s="932"/>
      <c r="B403" s="1086">
        <v>131</v>
      </c>
      <c r="C403" s="1095"/>
      <c r="D403" s="1091"/>
      <c r="E403" s="1091" t="s">
        <v>20</v>
      </c>
      <c r="F403" s="1093" t="str">
        <f>VLOOKUP(E403,$N$13:$O$17,2,0)</f>
        <v>-</v>
      </c>
      <c r="G403" s="95"/>
      <c r="H403" s="93"/>
      <c r="I403" s="1091"/>
      <c r="J403" s="1083"/>
      <c r="K403" s="1083"/>
      <c r="L403" s="932"/>
      <c r="M403" s="932"/>
    </row>
    <row r="404" spans="1:13" s="106" customFormat="1" ht="15.75" hidden="1" customHeight="1" outlineLevel="1">
      <c r="A404" s="932"/>
      <c r="B404" s="1086"/>
      <c r="C404" s="1095"/>
      <c r="D404" s="1091"/>
      <c r="E404" s="1091"/>
      <c r="F404" s="1093"/>
      <c r="G404" s="98"/>
      <c r="H404" s="93"/>
      <c r="I404" s="1091"/>
      <c r="J404" s="1084"/>
      <c r="K404" s="1084"/>
      <c r="L404" s="932"/>
      <c r="M404" s="932"/>
    </row>
    <row r="405" spans="1:13" s="106" customFormat="1" ht="15.75" hidden="1" customHeight="1" outlineLevel="1">
      <c r="A405" s="932"/>
      <c r="B405" s="1087"/>
      <c r="C405" s="1096"/>
      <c r="D405" s="1092"/>
      <c r="E405" s="1092"/>
      <c r="F405" s="1094"/>
      <c r="G405" s="103"/>
      <c r="H405" s="101"/>
      <c r="I405" s="1092"/>
      <c r="J405" s="1085"/>
      <c r="K405" s="1085"/>
      <c r="L405" s="932"/>
      <c r="M405" s="932"/>
    </row>
    <row r="406" spans="1:13" s="106" customFormat="1" ht="15.75" hidden="1" customHeight="1" outlineLevel="1">
      <c r="A406" s="932"/>
      <c r="B406" s="1086">
        <v>132</v>
      </c>
      <c r="C406" s="1095"/>
      <c r="D406" s="1091"/>
      <c r="E406" s="1091" t="s">
        <v>20</v>
      </c>
      <c r="F406" s="1093" t="str">
        <f>VLOOKUP(E406,$N$13:$O$17,2,0)</f>
        <v>-</v>
      </c>
      <c r="G406" s="95"/>
      <c r="H406" s="93"/>
      <c r="I406" s="1091"/>
      <c r="J406" s="1083"/>
      <c r="K406" s="1083"/>
      <c r="L406" s="932"/>
      <c r="M406" s="932"/>
    </row>
    <row r="407" spans="1:13" s="106" customFormat="1" ht="15.75" hidden="1" customHeight="1" outlineLevel="1">
      <c r="A407" s="932"/>
      <c r="B407" s="1086"/>
      <c r="C407" s="1095"/>
      <c r="D407" s="1091"/>
      <c r="E407" s="1091"/>
      <c r="F407" s="1093"/>
      <c r="G407" s="98"/>
      <c r="H407" s="93"/>
      <c r="I407" s="1091"/>
      <c r="J407" s="1084"/>
      <c r="K407" s="1084"/>
      <c r="L407" s="932"/>
      <c r="M407" s="932"/>
    </row>
    <row r="408" spans="1:13" s="106" customFormat="1" ht="15.75" hidden="1" customHeight="1" outlineLevel="1">
      <c r="A408" s="932"/>
      <c r="B408" s="1087"/>
      <c r="C408" s="1096"/>
      <c r="D408" s="1092"/>
      <c r="E408" s="1092"/>
      <c r="F408" s="1094"/>
      <c r="G408" s="103"/>
      <c r="H408" s="101"/>
      <c r="I408" s="1092"/>
      <c r="J408" s="1085"/>
      <c r="K408" s="1085"/>
      <c r="L408" s="932"/>
      <c r="M408" s="932"/>
    </row>
    <row r="409" spans="1:13" s="106" customFormat="1" ht="15.75" hidden="1" customHeight="1" outlineLevel="1">
      <c r="A409" s="932"/>
      <c r="B409" s="1086">
        <v>133</v>
      </c>
      <c r="C409" s="1095"/>
      <c r="D409" s="1091"/>
      <c r="E409" s="1091" t="s">
        <v>20</v>
      </c>
      <c r="F409" s="1093" t="str">
        <f>VLOOKUP(E409,$N$13:$O$17,2,0)</f>
        <v>-</v>
      </c>
      <c r="G409" s="95"/>
      <c r="H409" s="93"/>
      <c r="I409" s="1091"/>
      <c r="J409" s="1083"/>
      <c r="K409" s="1083"/>
      <c r="L409" s="932"/>
      <c r="M409" s="932"/>
    </row>
    <row r="410" spans="1:13" s="106" customFormat="1" ht="15.75" hidden="1" customHeight="1" outlineLevel="1">
      <c r="A410" s="932"/>
      <c r="B410" s="1086"/>
      <c r="C410" s="1095"/>
      <c r="D410" s="1091"/>
      <c r="E410" s="1091"/>
      <c r="F410" s="1093"/>
      <c r="G410" s="98"/>
      <c r="H410" s="93"/>
      <c r="I410" s="1091"/>
      <c r="J410" s="1084"/>
      <c r="K410" s="1084"/>
      <c r="L410" s="932"/>
      <c r="M410" s="932"/>
    </row>
    <row r="411" spans="1:13" s="106" customFormat="1" ht="15.75" hidden="1" customHeight="1" outlineLevel="1">
      <c r="A411" s="932"/>
      <c r="B411" s="1087"/>
      <c r="C411" s="1096"/>
      <c r="D411" s="1092"/>
      <c r="E411" s="1092"/>
      <c r="F411" s="1094"/>
      <c r="G411" s="103"/>
      <c r="H411" s="101"/>
      <c r="I411" s="1092"/>
      <c r="J411" s="1085"/>
      <c r="K411" s="1085"/>
      <c r="L411" s="932"/>
      <c r="M411" s="932"/>
    </row>
    <row r="412" spans="1:13" s="106" customFormat="1" ht="15.75" hidden="1" customHeight="1" outlineLevel="1">
      <c r="A412" s="932"/>
      <c r="B412" s="1086">
        <v>134</v>
      </c>
      <c r="C412" s="1095"/>
      <c r="D412" s="1091"/>
      <c r="E412" s="1091" t="s">
        <v>20</v>
      </c>
      <c r="F412" s="1093" t="str">
        <f>VLOOKUP(E412,$N$13:$O$17,2,0)</f>
        <v>-</v>
      </c>
      <c r="G412" s="95"/>
      <c r="H412" s="93"/>
      <c r="I412" s="1091"/>
      <c r="J412" s="1083"/>
      <c r="K412" s="1083"/>
      <c r="L412" s="932"/>
      <c r="M412" s="932"/>
    </row>
    <row r="413" spans="1:13" s="106" customFormat="1" ht="15.75" hidden="1" customHeight="1" outlineLevel="1">
      <c r="A413" s="932"/>
      <c r="B413" s="1086"/>
      <c r="C413" s="1095"/>
      <c r="D413" s="1091"/>
      <c r="E413" s="1091"/>
      <c r="F413" s="1093"/>
      <c r="G413" s="98"/>
      <c r="H413" s="93"/>
      <c r="I413" s="1091"/>
      <c r="J413" s="1084"/>
      <c r="K413" s="1084"/>
      <c r="L413" s="932"/>
      <c r="M413" s="932"/>
    </row>
    <row r="414" spans="1:13" s="106" customFormat="1" ht="15.75" hidden="1" customHeight="1" outlineLevel="1">
      <c r="A414" s="932"/>
      <c r="B414" s="1087"/>
      <c r="C414" s="1096"/>
      <c r="D414" s="1092"/>
      <c r="E414" s="1092"/>
      <c r="F414" s="1094"/>
      <c r="G414" s="103"/>
      <c r="H414" s="101"/>
      <c r="I414" s="1092"/>
      <c r="J414" s="1085"/>
      <c r="K414" s="1085"/>
      <c r="L414" s="932"/>
      <c r="M414" s="932"/>
    </row>
    <row r="415" spans="1:13" s="106" customFormat="1" ht="15.75" hidden="1" customHeight="1" outlineLevel="1">
      <c r="A415" s="932"/>
      <c r="B415" s="1086">
        <v>135</v>
      </c>
      <c r="C415" s="1095"/>
      <c r="D415" s="1091"/>
      <c r="E415" s="1091" t="s">
        <v>20</v>
      </c>
      <c r="F415" s="1093" t="str">
        <f>VLOOKUP(E415,$N$13:$O$17,2,0)</f>
        <v>-</v>
      </c>
      <c r="G415" s="95"/>
      <c r="H415" s="93"/>
      <c r="I415" s="1091"/>
      <c r="J415" s="1083"/>
      <c r="K415" s="1083"/>
      <c r="L415" s="932"/>
      <c r="M415" s="932"/>
    </row>
    <row r="416" spans="1:13" s="106" customFormat="1" ht="15.75" hidden="1" customHeight="1" outlineLevel="1">
      <c r="A416" s="932"/>
      <c r="B416" s="1086"/>
      <c r="C416" s="1095"/>
      <c r="D416" s="1091"/>
      <c r="E416" s="1091"/>
      <c r="F416" s="1093"/>
      <c r="G416" s="98"/>
      <c r="H416" s="93"/>
      <c r="I416" s="1091"/>
      <c r="J416" s="1084"/>
      <c r="K416" s="1084"/>
      <c r="L416" s="932"/>
      <c r="M416" s="932"/>
    </row>
    <row r="417" spans="1:13" s="106" customFormat="1" ht="15.75" hidden="1" customHeight="1" outlineLevel="1">
      <c r="A417" s="932"/>
      <c r="B417" s="1087"/>
      <c r="C417" s="1096"/>
      <c r="D417" s="1092"/>
      <c r="E417" s="1092"/>
      <c r="F417" s="1094"/>
      <c r="G417" s="103"/>
      <c r="H417" s="101"/>
      <c r="I417" s="1092"/>
      <c r="J417" s="1085"/>
      <c r="K417" s="1085"/>
      <c r="L417" s="932"/>
      <c r="M417" s="932"/>
    </row>
    <row r="418" spans="1:13" s="106" customFormat="1" ht="15.75" hidden="1" customHeight="1" outlineLevel="1">
      <c r="A418" s="932"/>
      <c r="B418" s="1086">
        <v>136</v>
      </c>
      <c r="C418" s="1095"/>
      <c r="D418" s="1091"/>
      <c r="E418" s="1091" t="s">
        <v>20</v>
      </c>
      <c r="F418" s="1093" t="str">
        <f>VLOOKUP(E418,$N$13:$O$17,2,0)</f>
        <v>-</v>
      </c>
      <c r="G418" s="95"/>
      <c r="H418" s="93"/>
      <c r="I418" s="1091"/>
      <c r="J418" s="1083"/>
      <c r="K418" s="1083"/>
      <c r="L418" s="932"/>
      <c r="M418" s="932"/>
    </row>
    <row r="419" spans="1:13" s="106" customFormat="1" ht="15.75" hidden="1" customHeight="1" outlineLevel="1">
      <c r="A419" s="932"/>
      <c r="B419" s="1086"/>
      <c r="C419" s="1095"/>
      <c r="D419" s="1091"/>
      <c r="E419" s="1091"/>
      <c r="F419" s="1093"/>
      <c r="G419" s="98"/>
      <c r="H419" s="93"/>
      <c r="I419" s="1091"/>
      <c r="J419" s="1084"/>
      <c r="K419" s="1084"/>
      <c r="L419" s="932"/>
      <c r="M419" s="932"/>
    </row>
    <row r="420" spans="1:13" s="106" customFormat="1" ht="15.75" hidden="1" customHeight="1" outlineLevel="1">
      <c r="A420" s="932"/>
      <c r="B420" s="1087"/>
      <c r="C420" s="1096"/>
      <c r="D420" s="1092"/>
      <c r="E420" s="1092"/>
      <c r="F420" s="1094"/>
      <c r="G420" s="103"/>
      <c r="H420" s="101"/>
      <c r="I420" s="1092"/>
      <c r="J420" s="1085"/>
      <c r="K420" s="1085"/>
      <c r="L420" s="932"/>
      <c r="M420" s="932"/>
    </row>
    <row r="421" spans="1:13" s="106" customFormat="1" ht="15.75" hidden="1" customHeight="1" outlineLevel="1">
      <c r="A421" s="932"/>
      <c r="B421" s="1086">
        <v>137</v>
      </c>
      <c r="C421" s="1095"/>
      <c r="D421" s="1091"/>
      <c r="E421" s="1091" t="s">
        <v>20</v>
      </c>
      <c r="F421" s="1093" t="str">
        <f>VLOOKUP(E421,$N$13:$O$17,2,0)</f>
        <v>-</v>
      </c>
      <c r="G421" s="95"/>
      <c r="H421" s="93"/>
      <c r="I421" s="1091"/>
      <c r="J421" s="1083"/>
      <c r="K421" s="1083"/>
      <c r="L421" s="932"/>
      <c r="M421" s="932"/>
    </row>
    <row r="422" spans="1:13" s="106" customFormat="1" ht="15.75" hidden="1" customHeight="1" outlineLevel="1">
      <c r="A422" s="932"/>
      <c r="B422" s="1086"/>
      <c r="C422" s="1095"/>
      <c r="D422" s="1091"/>
      <c r="E422" s="1091"/>
      <c r="F422" s="1093"/>
      <c r="G422" s="98"/>
      <c r="H422" s="93"/>
      <c r="I422" s="1091"/>
      <c r="J422" s="1084"/>
      <c r="K422" s="1084"/>
      <c r="L422" s="932"/>
      <c r="M422" s="932"/>
    </row>
    <row r="423" spans="1:13" s="106" customFormat="1" ht="15.75" hidden="1" customHeight="1" outlineLevel="1">
      <c r="A423" s="932"/>
      <c r="B423" s="1087"/>
      <c r="C423" s="1096"/>
      <c r="D423" s="1092"/>
      <c r="E423" s="1092"/>
      <c r="F423" s="1094"/>
      <c r="G423" s="103"/>
      <c r="H423" s="101"/>
      <c r="I423" s="1092"/>
      <c r="J423" s="1085"/>
      <c r="K423" s="1085"/>
      <c r="L423" s="932"/>
      <c r="M423" s="932"/>
    </row>
    <row r="424" spans="1:13" s="106" customFormat="1" ht="15.75" hidden="1" customHeight="1" outlineLevel="1">
      <c r="A424" s="932"/>
      <c r="B424" s="1086">
        <v>138</v>
      </c>
      <c r="C424" s="1095"/>
      <c r="D424" s="1091"/>
      <c r="E424" s="1091" t="s">
        <v>20</v>
      </c>
      <c r="F424" s="1093" t="str">
        <f>VLOOKUP(E424,$N$13:$O$17,2,0)</f>
        <v>-</v>
      </c>
      <c r="G424" s="95"/>
      <c r="H424" s="93"/>
      <c r="I424" s="1091"/>
      <c r="J424" s="1083"/>
      <c r="K424" s="1083"/>
      <c r="L424" s="932"/>
      <c r="M424" s="932"/>
    </row>
    <row r="425" spans="1:13" s="106" customFormat="1" ht="15.75" hidden="1" customHeight="1" outlineLevel="1">
      <c r="A425" s="932"/>
      <c r="B425" s="1086"/>
      <c r="C425" s="1095"/>
      <c r="D425" s="1091"/>
      <c r="E425" s="1091"/>
      <c r="F425" s="1093"/>
      <c r="G425" s="98"/>
      <c r="H425" s="93"/>
      <c r="I425" s="1091"/>
      <c r="J425" s="1084"/>
      <c r="K425" s="1084"/>
      <c r="L425" s="932"/>
      <c r="M425" s="932"/>
    </row>
    <row r="426" spans="1:13" s="106" customFormat="1" ht="15.75" hidden="1" customHeight="1" outlineLevel="1">
      <c r="A426" s="932"/>
      <c r="B426" s="1087"/>
      <c r="C426" s="1096"/>
      <c r="D426" s="1092"/>
      <c r="E426" s="1092"/>
      <c r="F426" s="1094"/>
      <c r="G426" s="103"/>
      <c r="H426" s="101"/>
      <c r="I426" s="1092"/>
      <c r="J426" s="1085"/>
      <c r="K426" s="1085"/>
      <c r="L426" s="932"/>
      <c r="M426" s="932"/>
    </row>
    <row r="427" spans="1:13" s="106" customFormat="1" ht="15.75" hidden="1" customHeight="1" outlineLevel="1">
      <c r="A427" s="932"/>
      <c r="B427" s="1086">
        <v>139</v>
      </c>
      <c r="C427" s="1095"/>
      <c r="D427" s="1091"/>
      <c r="E427" s="1091" t="s">
        <v>20</v>
      </c>
      <c r="F427" s="1093" t="str">
        <f>VLOOKUP(E427,$N$13:$O$17,2,0)</f>
        <v>-</v>
      </c>
      <c r="G427" s="95"/>
      <c r="H427" s="93"/>
      <c r="I427" s="1091"/>
      <c r="J427" s="1083"/>
      <c r="K427" s="1083"/>
      <c r="L427" s="932"/>
      <c r="M427" s="932"/>
    </row>
    <row r="428" spans="1:13" s="106" customFormat="1" ht="15.75" hidden="1" customHeight="1" outlineLevel="1">
      <c r="A428" s="932"/>
      <c r="B428" s="1086"/>
      <c r="C428" s="1095"/>
      <c r="D428" s="1091"/>
      <c r="E428" s="1091"/>
      <c r="F428" s="1093"/>
      <c r="G428" s="98"/>
      <c r="H428" s="93"/>
      <c r="I428" s="1091"/>
      <c r="J428" s="1084"/>
      <c r="K428" s="1084"/>
      <c r="L428" s="932"/>
      <c r="M428" s="932"/>
    </row>
    <row r="429" spans="1:13" s="106" customFormat="1" ht="15.75" hidden="1" customHeight="1" outlineLevel="1">
      <c r="A429" s="932"/>
      <c r="B429" s="1087"/>
      <c r="C429" s="1096"/>
      <c r="D429" s="1092"/>
      <c r="E429" s="1092"/>
      <c r="F429" s="1094"/>
      <c r="G429" s="103"/>
      <c r="H429" s="101"/>
      <c r="I429" s="1092"/>
      <c r="J429" s="1085"/>
      <c r="K429" s="1085"/>
      <c r="L429" s="932"/>
      <c r="M429" s="932"/>
    </row>
    <row r="430" spans="1:13" s="106" customFormat="1" ht="15.75" hidden="1" customHeight="1" outlineLevel="1">
      <c r="A430" s="932"/>
      <c r="B430" s="1086">
        <v>140</v>
      </c>
      <c r="C430" s="1095"/>
      <c r="D430" s="1091"/>
      <c r="E430" s="1091" t="s">
        <v>20</v>
      </c>
      <c r="F430" s="1093" t="str">
        <f>VLOOKUP(E430,$N$13:$O$17,2,0)</f>
        <v>-</v>
      </c>
      <c r="G430" s="95"/>
      <c r="H430" s="93"/>
      <c r="I430" s="1091"/>
      <c r="J430" s="1083"/>
      <c r="K430" s="1083"/>
      <c r="L430" s="932"/>
      <c r="M430" s="932"/>
    </row>
    <row r="431" spans="1:13" s="106" customFormat="1" ht="15.75" hidden="1" customHeight="1" outlineLevel="1">
      <c r="A431" s="932"/>
      <c r="B431" s="1086"/>
      <c r="C431" s="1095"/>
      <c r="D431" s="1091"/>
      <c r="E431" s="1091"/>
      <c r="F431" s="1093"/>
      <c r="G431" s="98"/>
      <c r="H431" s="93"/>
      <c r="I431" s="1091"/>
      <c r="J431" s="1084"/>
      <c r="K431" s="1084"/>
      <c r="L431" s="932"/>
      <c r="M431" s="932"/>
    </row>
    <row r="432" spans="1:13" s="106" customFormat="1" ht="15.75" hidden="1" customHeight="1" outlineLevel="1">
      <c r="A432" s="932"/>
      <c r="B432" s="1087"/>
      <c r="C432" s="1096"/>
      <c r="D432" s="1092"/>
      <c r="E432" s="1092"/>
      <c r="F432" s="1094"/>
      <c r="G432" s="103"/>
      <c r="H432" s="101"/>
      <c r="I432" s="1092"/>
      <c r="J432" s="1085"/>
      <c r="K432" s="1085"/>
      <c r="L432" s="932"/>
      <c r="M432" s="932"/>
    </row>
    <row r="433" spans="1:13" s="106" customFormat="1" ht="15.75" hidden="1" customHeight="1" outlineLevel="1">
      <c r="A433" s="932"/>
      <c r="B433" s="1086">
        <v>141</v>
      </c>
      <c r="C433" s="1095"/>
      <c r="D433" s="1091"/>
      <c r="E433" s="1091" t="s">
        <v>20</v>
      </c>
      <c r="F433" s="1093" t="str">
        <f>VLOOKUP(E433,$N$13:$O$17,2,0)</f>
        <v>-</v>
      </c>
      <c r="G433" s="95"/>
      <c r="H433" s="93"/>
      <c r="I433" s="1091"/>
      <c r="J433" s="1083"/>
      <c r="K433" s="1083"/>
      <c r="L433" s="932"/>
      <c r="M433" s="932"/>
    </row>
    <row r="434" spans="1:13" s="106" customFormat="1" ht="15.75" hidden="1" customHeight="1" outlineLevel="1">
      <c r="A434" s="932"/>
      <c r="B434" s="1086"/>
      <c r="C434" s="1095"/>
      <c r="D434" s="1091"/>
      <c r="E434" s="1091"/>
      <c r="F434" s="1093"/>
      <c r="G434" s="98"/>
      <c r="H434" s="93"/>
      <c r="I434" s="1091"/>
      <c r="J434" s="1084"/>
      <c r="K434" s="1084"/>
      <c r="L434" s="932"/>
      <c r="M434" s="932"/>
    </row>
    <row r="435" spans="1:13" s="106" customFormat="1" ht="15.75" hidden="1" customHeight="1" outlineLevel="1">
      <c r="A435" s="932"/>
      <c r="B435" s="1087"/>
      <c r="C435" s="1096"/>
      <c r="D435" s="1092"/>
      <c r="E435" s="1092"/>
      <c r="F435" s="1094"/>
      <c r="G435" s="103"/>
      <c r="H435" s="101"/>
      <c r="I435" s="1092"/>
      <c r="J435" s="1085"/>
      <c r="K435" s="1085"/>
      <c r="L435" s="932"/>
      <c r="M435" s="932"/>
    </row>
    <row r="436" spans="1:13" s="106" customFormat="1" ht="15.75" hidden="1" customHeight="1" outlineLevel="1">
      <c r="A436" s="932"/>
      <c r="B436" s="1086">
        <v>142</v>
      </c>
      <c r="C436" s="1095"/>
      <c r="D436" s="1091"/>
      <c r="E436" s="1091" t="s">
        <v>20</v>
      </c>
      <c r="F436" s="1093" t="str">
        <f>VLOOKUP(E436,$N$13:$O$17,2,0)</f>
        <v>-</v>
      </c>
      <c r="G436" s="95"/>
      <c r="H436" s="93"/>
      <c r="I436" s="1091"/>
      <c r="J436" s="1083"/>
      <c r="K436" s="1083"/>
      <c r="L436" s="932"/>
      <c r="M436" s="932"/>
    </row>
    <row r="437" spans="1:13" s="106" customFormat="1" ht="15.75" hidden="1" customHeight="1" outlineLevel="1">
      <c r="A437" s="932"/>
      <c r="B437" s="1086"/>
      <c r="C437" s="1095"/>
      <c r="D437" s="1091"/>
      <c r="E437" s="1091"/>
      <c r="F437" s="1093"/>
      <c r="G437" s="98"/>
      <c r="H437" s="93"/>
      <c r="I437" s="1091"/>
      <c r="J437" s="1084"/>
      <c r="K437" s="1084"/>
      <c r="L437" s="932"/>
      <c r="M437" s="932"/>
    </row>
    <row r="438" spans="1:13" s="106" customFormat="1" ht="15.75" hidden="1" customHeight="1" outlineLevel="1">
      <c r="A438" s="932"/>
      <c r="B438" s="1087"/>
      <c r="C438" s="1096"/>
      <c r="D438" s="1092"/>
      <c r="E438" s="1092"/>
      <c r="F438" s="1094"/>
      <c r="G438" s="103"/>
      <c r="H438" s="101"/>
      <c r="I438" s="1092"/>
      <c r="J438" s="1085"/>
      <c r="K438" s="1085"/>
      <c r="L438" s="932"/>
      <c r="M438" s="932"/>
    </row>
    <row r="439" spans="1:13" s="106" customFormat="1" ht="15.75" hidden="1" customHeight="1" outlineLevel="1">
      <c r="A439" s="932"/>
      <c r="B439" s="1086">
        <v>143</v>
      </c>
      <c r="C439" s="1095"/>
      <c r="D439" s="1091"/>
      <c r="E439" s="1091" t="s">
        <v>20</v>
      </c>
      <c r="F439" s="1093" t="str">
        <f>VLOOKUP(E439,$N$13:$O$17,2,0)</f>
        <v>-</v>
      </c>
      <c r="G439" s="95"/>
      <c r="H439" s="93"/>
      <c r="I439" s="1091"/>
      <c r="J439" s="1083"/>
      <c r="K439" s="1083"/>
      <c r="L439" s="932"/>
      <c r="M439" s="932"/>
    </row>
    <row r="440" spans="1:13" s="106" customFormat="1" ht="15.75" hidden="1" customHeight="1" outlineLevel="1">
      <c r="A440" s="932"/>
      <c r="B440" s="1086"/>
      <c r="C440" s="1095"/>
      <c r="D440" s="1091"/>
      <c r="E440" s="1091"/>
      <c r="F440" s="1093"/>
      <c r="G440" s="98"/>
      <c r="H440" s="93"/>
      <c r="I440" s="1091"/>
      <c r="J440" s="1084"/>
      <c r="K440" s="1084"/>
      <c r="L440" s="932"/>
      <c r="M440" s="932"/>
    </row>
    <row r="441" spans="1:13" s="106" customFormat="1" ht="15.75" hidden="1" customHeight="1" outlineLevel="1">
      <c r="A441" s="932"/>
      <c r="B441" s="1087"/>
      <c r="C441" s="1096"/>
      <c r="D441" s="1092"/>
      <c r="E441" s="1092"/>
      <c r="F441" s="1094"/>
      <c r="G441" s="103"/>
      <c r="H441" s="101"/>
      <c r="I441" s="1092"/>
      <c r="J441" s="1085"/>
      <c r="K441" s="1085"/>
      <c r="L441" s="932"/>
      <c r="M441" s="932"/>
    </row>
    <row r="442" spans="1:13" s="106" customFormat="1" ht="15.75" hidden="1" customHeight="1" outlineLevel="1">
      <c r="A442" s="932"/>
      <c r="B442" s="1086">
        <v>144</v>
      </c>
      <c r="C442" s="1095"/>
      <c r="D442" s="1091"/>
      <c r="E442" s="1091" t="s">
        <v>20</v>
      </c>
      <c r="F442" s="1093" t="str">
        <f>VLOOKUP(E442,$N$13:$O$17,2,0)</f>
        <v>-</v>
      </c>
      <c r="G442" s="95"/>
      <c r="H442" s="93"/>
      <c r="I442" s="1091"/>
      <c r="J442" s="1083"/>
      <c r="K442" s="1083"/>
      <c r="L442" s="932"/>
      <c r="M442" s="932"/>
    </row>
    <row r="443" spans="1:13" s="106" customFormat="1" ht="15.75" hidden="1" customHeight="1" outlineLevel="1">
      <c r="A443" s="932"/>
      <c r="B443" s="1086"/>
      <c r="C443" s="1095"/>
      <c r="D443" s="1091"/>
      <c r="E443" s="1091"/>
      <c r="F443" s="1093"/>
      <c r="G443" s="98"/>
      <c r="H443" s="93"/>
      <c r="I443" s="1091"/>
      <c r="J443" s="1084"/>
      <c r="K443" s="1084"/>
      <c r="L443" s="932"/>
      <c r="M443" s="932"/>
    </row>
    <row r="444" spans="1:13" s="106" customFormat="1" ht="15.75" hidden="1" customHeight="1" outlineLevel="1">
      <c r="A444" s="932"/>
      <c r="B444" s="1087"/>
      <c r="C444" s="1096"/>
      <c r="D444" s="1092"/>
      <c r="E444" s="1092"/>
      <c r="F444" s="1094"/>
      <c r="G444" s="103"/>
      <c r="H444" s="101"/>
      <c r="I444" s="1092"/>
      <c r="J444" s="1085"/>
      <c r="K444" s="1085"/>
      <c r="L444" s="932"/>
      <c r="M444" s="932"/>
    </row>
    <row r="445" spans="1:13" s="106" customFormat="1" ht="15.75" hidden="1" customHeight="1" outlineLevel="1">
      <c r="A445" s="932"/>
      <c r="B445" s="1086">
        <v>145</v>
      </c>
      <c r="C445" s="1095"/>
      <c r="D445" s="1091"/>
      <c r="E445" s="1091" t="s">
        <v>20</v>
      </c>
      <c r="F445" s="1093" t="str">
        <f>VLOOKUP(E445,$N$13:$O$17,2,0)</f>
        <v>-</v>
      </c>
      <c r="G445" s="95"/>
      <c r="H445" s="93"/>
      <c r="I445" s="1091"/>
      <c r="J445" s="1083"/>
      <c r="K445" s="1083"/>
      <c r="L445" s="932"/>
      <c r="M445" s="932"/>
    </row>
    <row r="446" spans="1:13" s="106" customFormat="1" ht="15.75" hidden="1" customHeight="1" outlineLevel="1">
      <c r="A446" s="932"/>
      <c r="B446" s="1086"/>
      <c r="C446" s="1095"/>
      <c r="D446" s="1091"/>
      <c r="E446" s="1091"/>
      <c r="F446" s="1093"/>
      <c r="G446" s="98"/>
      <c r="H446" s="93"/>
      <c r="I446" s="1091"/>
      <c r="J446" s="1084"/>
      <c r="K446" s="1084"/>
      <c r="L446" s="932"/>
      <c r="M446" s="932"/>
    </row>
    <row r="447" spans="1:13" s="106" customFormat="1" ht="15.75" hidden="1" customHeight="1" outlineLevel="1">
      <c r="A447" s="932"/>
      <c r="B447" s="1087"/>
      <c r="C447" s="1096"/>
      <c r="D447" s="1092"/>
      <c r="E447" s="1092"/>
      <c r="F447" s="1094"/>
      <c r="G447" s="103"/>
      <c r="H447" s="101"/>
      <c r="I447" s="1092"/>
      <c r="J447" s="1085"/>
      <c r="K447" s="1085"/>
      <c r="L447" s="932"/>
      <c r="M447" s="932"/>
    </row>
    <row r="448" spans="1:13" s="106" customFormat="1" ht="15.75" hidden="1" customHeight="1" outlineLevel="1">
      <c r="A448" s="932"/>
      <c r="B448" s="1086">
        <v>146</v>
      </c>
      <c r="C448" s="1095"/>
      <c r="D448" s="1091"/>
      <c r="E448" s="1091" t="s">
        <v>20</v>
      </c>
      <c r="F448" s="1093" t="str">
        <f>VLOOKUP(E448,$N$13:$O$17,2,0)</f>
        <v>-</v>
      </c>
      <c r="G448" s="95"/>
      <c r="H448" s="93"/>
      <c r="I448" s="1091"/>
      <c r="J448" s="1083"/>
      <c r="K448" s="1083"/>
      <c r="L448" s="932"/>
      <c r="M448" s="932"/>
    </row>
    <row r="449" spans="1:13" s="106" customFormat="1" ht="15.75" hidden="1" customHeight="1" outlineLevel="1">
      <c r="A449" s="932"/>
      <c r="B449" s="1086"/>
      <c r="C449" s="1095"/>
      <c r="D449" s="1091"/>
      <c r="E449" s="1091"/>
      <c r="F449" s="1093"/>
      <c r="G449" s="98"/>
      <c r="H449" s="93"/>
      <c r="I449" s="1091"/>
      <c r="J449" s="1084"/>
      <c r="K449" s="1084"/>
      <c r="L449" s="932"/>
      <c r="M449" s="932"/>
    </row>
    <row r="450" spans="1:13" s="106" customFormat="1" ht="15.75" hidden="1" customHeight="1" outlineLevel="1">
      <c r="A450" s="932"/>
      <c r="B450" s="1087"/>
      <c r="C450" s="1096"/>
      <c r="D450" s="1092"/>
      <c r="E450" s="1092"/>
      <c r="F450" s="1094"/>
      <c r="G450" s="103"/>
      <c r="H450" s="101"/>
      <c r="I450" s="1092"/>
      <c r="J450" s="1085"/>
      <c r="K450" s="1085"/>
      <c r="L450" s="932"/>
      <c r="M450" s="932"/>
    </row>
    <row r="451" spans="1:13" s="106" customFormat="1" ht="15.75" hidden="1" customHeight="1" outlineLevel="1">
      <c r="A451" s="932"/>
      <c r="B451" s="1086">
        <v>147</v>
      </c>
      <c r="C451" s="1095"/>
      <c r="D451" s="1091"/>
      <c r="E451" s="1091" t="s">
        <v>20</v>
      </c>
      <c r="F451" s="1093" t="str">
        <f>VLOOKUP(E451,$N$13:$O$17,2,0)</f>
        <v>-</v>
      </c>
      <c r="G451" s="95"/>
      <c r="H451" s="93"/>
      <c r="I451" s="1091"/>
      <c r="J451" s="1083"/>
      <c r="K451" s="1083"/>
      <c r="L451" s="932"/>
      <c r="M451" s="932"/>
    </row>
    <row r="452" spans="1:13" s="106" customFormat="1" ht="15.75" hidden="1" customHeight="1" outlineLevel="1">
      <c r="A452" s="932"/>
      <c r="B452" s="1086"/>
      <c r="C452" s="1095"/>
      <c r="D452" s="1091"/>
      <c r="E452" s="1091"/>
      <c r="F452" s="1093"/>
      <c r="G452" s="98"/>
      <c r="H452" s="93"/>
      <c r="I452" s="1091"/>
      <c r="J452" s="1084"/>
      <c r="K452" s="1084"/>
      <c r="L452" s="932"/>
      <c r="M452" s="932"/>
    </row>
    <row r="453" spans="1:13" s="106" customFormat="1" ht="15.75" hidden="1" customHeight="1" outlineLevel="1">
      <c r="A453" s="932"/>
      <c r="B453" s="1087"/>
      <c r="C453" s="1096"/>
      <c r="D453" s="1092"/>
      <c r="E453" s="1092"/>
      <c r="F453" s="1094"/>
      <c r="G453" s="103"/>
      <c r="H453" s="101"/>
      <c r="I453" s="1092"/>
      <c r="J453" s="1085"/>
      <c r="K453" s="1085"/>
      <c r="L453" s="932"/>
      <c r="M453" s="932"/>
    </row>
    <row r="454" spans="1:13" s="106" customFormat="1" ht="15.75" hidden="1" customHeight="1" outlineLevel="1">
      <c r="A454" s="932"/>
      <c r="B454" s="1086">
        <v>148</v>
      </c>
      <c r="C454" s="1095"/>
      <c r="D454" s="1091"/>
      <c r="E454" s="1091" t="s">
        <v>20</v>
      </c>
      <c r="F454" s="1093" t="str">
        <f>VLOOKUP(E454,$N$13:$O$17,2,0)</f>
        <v>-</v>
      </c>
      <c r="G454" s="95"/>
      <c r="H454" s="93"/>
      <c r="I454" s="1091"/>
      <c r="J454" s="1083"/>
      <c r="K454" s="1083"/>
      <c r="L454" s="932"/>
      <c r="M454" s="932"/>
    </row>
    <row r="455" spans="1:13" s="106" customFormat="1" ht="15.75" hidden="1" customHeight="1" outlineLevel="1">
      <c r="A455" s="932"/>
      <c r="B455" s="1086"/>
      <c r="C455" s="1095"/>
      <c r="D455" s="1091"/>
      <c r="E455" s="1091"/>
      <c r="F455" s="1093"/>
      <c r="G455" s="98"/>
      <c r="H455" s="93"/>
      <c r="I455" s="1091"/>
      <c r="J455" s="1084"/>
      <c r="K455" s="1084"/>
      <c r="L455" s="932"/>
      <c r="M455" s="932"/>
    </row>
    <row r="456" spans="1:13" s="106" customFormat="1" ht="15.75" hidden="1" customHeight="1" outlineLevel="1">
      <c r="A456" s="932"/>
      <c r="B456" s="1087"/>
      <c r="C456" s="1096"/>
      <c r="D456" s="1092"/>
      <c r="E456" s="1092"/>
      <c r="F456" s="1094"/>
      <c r="G456" s="103"/>
      <c r="H456" s="101"/>
      <c r="I456" s="1092"/>
      <c r="J456" s="1085"/>
      <c r="K456" s="1085"/>
      <c r="L456" s="932"/>
      <c r="M456" s="932"/>
    </row>
    <row r="457" spans="1:13" s="106" customFormat="1" ht="15.75" hidden="1" customHeight="1" outlineLevel="1">
      <c r="A457" s="932"/>
      <c r="B457" s="1086">
        <v>149</v>
      </c>
      <c r="C457" s="1095"/>
      <c r="D457" s="1091"/>
      <c r="E457" s="1091" t="s">
        <v>20</v>
      </c>
      <c r="F457" s="1093" t="str">
        <f>VLOOKUP(E457,$N$13:$O$17,2,0)</f>
        <v>-</v>
      </c>
      <c r="G457" s="95"/>
      <c r="H457" s="93"/>
      <c r="I457" s="1091"/>
      <c r="J457" s="1083"/>
      <c r="K457" s="1083"/>
      <c r="L457" s="932"/>
      <c r="M457" s="932"/>
    </row>
    <row r="458" spans="1:13" s="106" customFormat="1" ht="15.75" hidden="1" customHeight="1" outlineLevel="1">
      <c r="A458" s="932"/>
      <c r="B458" s="1086"/>
      <c r="C458" s="1095"/>
      <c r="D458" s="1091"/>
      <c r="E458" s="1091"/>
      <c r="F458" s="1093"/>
      <c r="G458" s="98"/>
      <c r="H458" s="93"/>
      <c r="I458" s="1091"/>
      <c r="J458" s="1084"/>
      <c r="K458" s="1084"/>
      <c r="L458" s="932"/>
      <c r="M458" s="932"/>
    </row>
    <row r="459" spans="1:13" s="106" customFormat="1" ht="15.75" hidden="1" customHeight="1" outlineLevel="1">
      <c r="A459" s="932"/>
      <c r="B459" s="1087"/>
      <c r="C459" s="1096"/>
      <c r="D459" s="1092"/>
      <c r="E459" s="1092"/>
      <c r="F459" s="1094"/>
      <c r="G459" s="103"/>
      <c r="H459" s="101"/>
      <c r="I459" s="1092"/>
      <c r="J459" s="1085"/>
      <c r="K459" s="1085"/>
      <c r="L459" s="932"/>
      <c r="M459" s="932"/>
    </row>
    <row r="460" spans="1:13" s="106" customFormat="1" ht="15.75" hidden="1" customHeight="1" outlineLevel="1">
      <c r="A460" s="932"/>
      <c r="B460" s="1086">
        <v>150</v>
      </c>
      <c r="C460" s="1095"/>
      <c r="D460" s="1091"/>
      <c r="E460" s="1091" t="s">
        <v>20</v>
      </c>
      <c r="F460" s="1093" t="str">
        <f>VLOOKUP(E460,$N$13:$O$17,2,0)</f>
        <v>-</v>
      </c>
      <c r="G460" s="95"/>
      <c r="H460" s="93"/>
      <c r="I460" s="1091"/>
      <c r="J460" s="1083"/>
      <c r="K460" s="1083"/>
      <c r="L460" s="932"/>
      <c r="M460" s="932"/>
    </row>
    <row r="461" spans="1:13" s="106" customFormat="1" ht="15.75" hidden="1" customHeight="1" outlineLevel="1">
      <c r="A461" s="932"/>
      <c r="B461" s="1086"/>
      <c r="C461" s="1095"/>
      <c r="D461" s="1091"/>
      <c r="E461" s="1091"/>
      <c r="F461" s="1093"/>
      <c r="G461" s="98"/>
      <c r="H461" s="93"/>
      <c r="I461" s="1091"/>
      <c r="J461" s="1084"/>
      <c r="K461" s="1084"/>
      <c r="L461" s="932"/>
      <c r="M461" s="932"/>
    </row>
    <row r="462" spans="1:13" s="106" customFormat="1" ht="15.75" hidden="1" customHeight="1" outlineLevel="1">
      <c r="A462" s="932"/>
      <c r="B462" s="1087"/>
      <c r="C462" s="1096"/>
      <c r="D462" s="1092"/>
      <c r="E462" s="1092"/>
      <c r="F462" s="1094"/>
      <c r="G462" s="103"/>
      <c r="H462" s="101"/>
      <c r="I462" s="1092"/>
      <c r="J462" s="1085"/>
      <c r="K462" s="1085"/>
      <c r="L462" s="932"/>
      <c r="M462" s="932"/>
    </row>
    <row r="463" spans="1:13" s="106" customFormat="1" ht="15.75" hidden="1" customHeight="1" outlineLevel="1">
      <c r="A463" s="932"/>
      <c r="B463" s="1086">
        <v>151</v>
      </c>
      <c r="C463" s="1095"/>
      <c r="D463" s="1091"/>
      <c r="E463" s="1091" t="s">
        <v>20</v>
      </c>
      <c r="F463" s="1093" t="str">
        <f>VLOOKUP(E463,$N$13:$O$17,2,0)</f>
        <v>-</v>
      </c>
      <c r="G463" s="95"/>
      <c r="H463" s="93"/>
      <c r="I463" s="1091"/>
      <c r="J463" s="1083"/>
      <c r="K463" s="1083"/>
      <c r="L463" s="932"/>
      <c r="M463" s="932"/>
    </row>
    <row r="464" spans="1:13" s="106" customFormat="1" ht="15.75" hidden="1" customHeight="1" outlineLevel="1">
      <c r="A464" s="932"/>
      <c r="B464" s="1086"/>
      <c r="C464" s="1095"/>
      <c r="D464" s="1091"/>
      <c r="E464" s="1091"/>
      <c r="F464" s="1093"/>
      <c r="G464" s="98"/>
      <c r="H464" s="93"/>
      <c r="I464" s="1091"/>
      <c r="J464" s="1084"/>
      <c r="K464" s="1084"/>
      <c r="L464" s="932"/>
      <c r="M464" s="932"/>
    </row>
    <row r="465" spans="1:13" s="106" customFormat="1" ht="15.75" hidden="1" customHeight="1" outlineLevel="1">
      <c r="A465" s="932"/>
      <c r="B465" s="1087"/>
      <c r="C465" s="1096"/>
      <c r="D465" s="1092"/>
      <c r="E465" s="1092"/>
      <c r="F465" s="1094"/>
      <c r="G465" s="103"/>
      <c r="H465" s="101"/>
      <c r="I465" s="1092"/>
      <c r="J465" s="1085"/>
      <c r="K465" s="1085"/>
      <c r="L465" s="932"/>
      <c r="M465" s="932"/>
    </row>
    <row r="466" spans="1:13" s="106" customFormat="1" ht="15.75" hidden="1" customHeight="1" outlineLevel="1">
      <c r="A466" s="932"/>
      <c r="B466" s="1086">
        <v>152</v>
      </c>
      <c r="C466" s="1095"/>
      <c r="D466" s="1091"/>
      <c r="E466" s="1091" t="s">
        <v>20</v>
      </c>
      <c r="F466" s="1093" t="str">
        <f>VLOOKUP(E466,$N$13:$O$17,2,0)</f>
        <v>-</v>
      </c>
      <c r="G466" s="95"/>
      <c r="H466" s="93"/>
      <c r="I466" s="1091"/>
      <c r="J466" s="1083"/>
      <c r="K466" s="1083"/>
      <c r="L466" s="932"/>
      <c r="M466" s="932"/>
    </row>
    <row r="467" spans="1:13" s="106" customFormat="1" ht="15.75" hidden="1" customHeight="1" outlineLevel="1">
      <c r="A467" s="932"/>
      <c r="B467" s="1086"/>
      <c r="C467" s="1095"/>
      <c r="D467" s="1091"/>
      <c r="E467" s="1091"/>
      <c r="F467" s="1093"/>
      <c r="G467" s="98"/>
      <c r="H467" s="93"/>
      <c r="I467" s="1091"/>
      <c r="J467" s="1084"/>
      <c r="K467" s="1084"/>
      <c r="L467" s="932"/>
      <c r="M467" s="932"/>
    </row>
    <row r="468" spans="1:13" s="106" customFormat="1" ht="15.75" hidden="1" customHeight="1" outlineLevel="1">
      <c r="A468" s="932"/>
      <c r="B468" s="1087"/>
      <c r="C468" s="1096"/>
      <c r="D468" s="1092"/>
      <c r="E468" s="1092"/>
      <c r="F468" s="1094"/>
      <c r="G468" s="103"/>
      <c r="H468" s="101"/>
      <c r="I468" s="1092"/>
      <c r="J468" s="1085"/>
      <c r="K468" s="1085"/>
      <c r="L468" s="932"/>
      <c r="M468" s="932"/>
    </row>
    <row r="469" spans="1:13" s="106" customFormat="1" ht="15.75" hidden="1" customHeight="1" outlineLevel="1">
      <c r="A469" s="932"/>
      <c r="B469" s="1086">
        <v>153</v>
      </c>
      <c r="C469" s="1095"/>
      <c r="D469" s="1091"/>
      <c r="E469" s="1091" t="s">
        <v>20</v>
      </c>
      <c r="F469" s="1093" t="str">
        <f>VLOOKUP(E469,$N$13:$O$17,2,0)</f>
        <v>-</v>
      </c>
      <c r="G469" s="95"/>
      <c r="H469" s="93"/>
      <c r="I469" s="1091"/>
      <c r="J469" s="1083"/>
      <c r="K469" s="1083"/>
      <c r="L469" s="932"/>
      <c r="M469" s="932"/>
    </row>
    <row r="470" spans="1:13" s="106" customFormat="1" ht="15.75" hidden="1" customHeight="1" outlineLevel="1">
      <c r="A470" s="932"/>
      <c r="B470" s="1086"/>
      <c r="C470" s="1095"/>
      <c r="D470" s="1091"/>
      <c r="E470" s="1091"/>
      <c r="F470" s="1093"/>
      <c r="G470" s="98"/>
      <c r="H470" s="93"/>
      <c r="I470" s="1091"/>
      <c r="J470" s="1084"/>
      <c r="K470" s="1084"/>
      <c r="L470" s="932"/>
      <c r="M470" s="932"/>
    </row>
    <row r="471" spans="1:13" s="106" customFormat="1" ht="15.75" hidden="1" customHeight="1" outlineLevel="1">
      <c r="A471" s="932"/>
      <c r="B471" s="1087"/>
      <c r="C471" s="1096"/>
      <c r="D471" s="1092"/>
      <c r="E471" s="1092"/>
      <c r="F471" s="1094"/>
      <c r="G471" s="103"/>
      <c r="H471" s="101"/>
      <c r="I471" s="1092"/>
      <c r="J471" s="1085"/>
      <c r="K471" s="1085"/>
      <c r="L471" s="932"/>
      <c r="M471" s="932"/>
    </row>
    <row r="472" spans="1:13" s="106" customFormat="1" ht="15.75" hidden="1" customHeight="1" outlineLevel="1">
      <c r="A472" s="932"/>
      <c r="B472" s="1086">
        <v>154</v>
      </c>
      <c r="C472" s="1095"/>
      <c r="D472" s="1091"/>
      <c r="E472" s="1091" t="s">
        <v>20</v>
      </c>
      <c r="F472" s="1093" t="str">
        <f>VLOOKUP(E472,$N$13:$O$17,2,0)</f>
        <v>-</v>
      </c>
      <c r="G472" s="95"/>
      <c r="H472" s="93"/>
      <c r="I472" s="1091"/>
      <c r="J472" s="1083"/>
      <c r="K472" s="1083"/>
      <c r="L472" s="932"/>
      <c r="M472" s="932"/>
    </row>
    <row r="473" spans="1:13" s="106" customFormat="1" ht="15.75" hidden="1" customHeight="1" outlineLevel="1">
      <c r="A473" s="932"/>
      <c r="B473" s="1086"/>
      <c r="C473" s="1095"/>
      <c r="D473" s="1091"/>
      <c r="E473" s="1091"/>
      <c r="F473" s="1093"/>
      <c r="G473" s="98"/>
      <c r="H473" s="93"/>
      <c r="I473" s="1091"/>
      <c r="J473" s="1084"/>
      <c r="K473" s="1084"/>
      <c r="L473" s="932"/>
      <c r="M473" s="932"/>
    </row>
    <row r="474" spans="1:13" s="106" customFormat="1" ht="15.75" hidden="1" customHeight="1" outlineLevel="1">
      <c r="A474" s="932"/>
      <c r="B474" s="1087"/>
      <c r="C474" s="1096"/>
      <c r="D474" s="1092"/>
      <c r="E474" s="1092"/>
      <c r="F474" s="1094"/>
      <c r="G474" s="103"/>
      <c r="H474" s="101"/>
      <c r="I474" s="1092"/>
      <c r="J474" s="1085"/>
      <c r="K474" s="1085"/>
      <c r="L474" s="932"/>
      <c r="M474" s="932"/>
    </row>
    <row r="475" spans="1:13" s="106" customFormat="1" ht="15.75" hidden="1" customHeight="1" outlineLevel="1">
      <c r="A475" s="932"/>
      <c r="B475" s="1086">
        <v>155</v>
      </c>
      <c r="C475" s="1095"/>
      <c r="D475" s="1091"/>
      <c r="E475" s="1091" t="s">
        <v>20</v>
      </c>
      <c r="F475" s="1093" t="str">
        <f>VLOOKUP(E475,$N$13:$O$17,2,0)</f>
        <v>-</v>
      </c>
      <c r="G475" s="95"/>
      <c r="H475" s="93"/>
      <c r="I475" s="1091"/>
      <c r="J475" s="1083"/>
      <c r="K475" s="1083"/>
      <c r="L475" s="932"/>
      <c r="M475" s="932"/>
    </row>
    <row r="476" spans="1:13" s="106" customFormat="1" ht="15.75" hidden="1" customHeight="1" outlineLevel="1">
      <c r="A476" s="932"/>
      <c r="B476" s="1086"/>
      <c r="C476" s="1095"/>
      <c r="D476" s="1091"/>
      <c r="E476" s="1091"/>
      <c r="F476" s="1093"/>
      <c r="G476" s="98"/>
      <c r="H476" s="93"/>
      <c r="I476" s="1091"/>
      <c r="J476" s="1084"/>
      <c r="K476" s="1084"/>
      <c r="L476" s="932"/>
      <c r="M476" s="932"/>
    </row>
    <row r="477" spans="1:13" s="106" customFormat="1" ht="15.75" hidden="1" customHeight="1" outlineLevel="1">
      <c r="A477" s="932"/>
      <c r="B477" s="1087"/>
      <c r="C477" s="1096"/>
      <c r="D477" s="1092"/>
      <c r="E477" s="1092"/>
      <c r="F477" s="1094"/>
      <c r="G477" s="103"/>
      <c r="H477" s="101"/>
      <c r="I477" s="1092"/>
      <c r="J477" s="1085"/>
      <c r="K477" s="1085"/>
      <c r="L477" s="932"/>
      <c r="M477" s="932"/>
    </row>
    <row r="478" spans="1:13" s="106" customFormat="1" ht="15.75" hidden="1" customHeight="1" outlineLevel="1">
      <c r="A478" s="932"/>
      <c r="B478" s="1086">
        <v>156</v>
      </c>
      <c r="C478" s="1095"/>
      <c r="D478" s="1091"/>
      <c r="E478" s="1091" t="s">
        <v>20</v>
      </c>
      <c r="F478" s="1093" t="str">
        <f>VLOOKUP(E478,$N$13:$O$17,2,0)</f>
        <v>-</v>
      </c>
      <c r="G478" s="95"/>
      <c r="H478" s="93"/>
      <c r="I478" s="1091"/>
      <c r="J478" s="1083"/>
      <c r="K478" s="1083"/>
      <c r="L478" s="932"/>
      <c r="M478" s="932"/>
    </row>
    <row r="479" spans="1:13" s="106" customFormat="1" ht="15.75" hidden="1" customHeight="1" outlineLevel="1">
      <c r="A479" s="932"/>
      <c r="B479" s="1086"/>
      <c r="C479" s="1095"/>
      <c r="D479" s="1091"/>
      <c r="E479" s="1091"/>
      <c r="F479" s="1093"/>
      <c r="G479" s="98"/>
      <c r="H479" s="93"/>
      <c r="I479" s="1091"/>
      <c r="J479" s="1084"/>
      <c r="K479" s="1084"/>
      <c r="L479" s="932"/>
      <c r="M479" s="932"/>
    </row>
    <row r="480" spans="1:13" s="106" customFormat="1" ht="15.75" hidden="1" customHeight="1" outlineLevel="1">
      <c r="A480" s="932"/>
      <c r="B480" s="1087"/>
      <c r="C480" s="1096"/>
      <c r="D480" s="1092"/>
      <c r="E480" s="1092"/>
      <c r="F480" s="1094"/>
      <c r="G480" s="103"/>
      <c r="H480" s="101"/>
      <c r="I480" s="1092"/>
      <c r="J480" s="1085"/>
      <c r="K480" s="1085"/>
      <c r="L480" s="932"/>
      <c r="M480" s="932"/>
    </row>
    <row r="481" spans="1:13" s="106" customFormat="1" ht="15.75" hidden="1" customHeight="1" outlineLevel="1">
      <c r="A481" s="932"/>
      <c r="B481" s="1086">
        <v>157</v>
      </c>
      <c r="C481" s="1095"/>
      <c r="D481" s="1091"/>
      <c r="E481" s="1091" t="s">
        <v>20</v>
      </c>
      <c r="F481" s="1093" t="str">
        <f>VLOOKUP(E481,$N$13:$O$17,2,0)</f>
        <v>-</v>
      </c>
      <c r="G481" s="95"/>
      <c r="H481" s="93"/>
      <c r="I481" s="1091"/>
      <c r="J481" s="1083"/>
      <c r="K481" s="1083"/>
      <c r="L481" s="932"/>
      <c r="M481" s="932"/>
    </row>
    <row r="482" spans="1:13" s="106" customFormat="1" ht="15.75" hidden="1" customHeight="1" outlineLevel="1">
      <c r="A482" s="932"/>
      <c r="B482" s="1086"/>
      <c r="C482" s="1095"/>
      <c r="D482" s="1091"/>
      <c r="E482" s="1091"/>
      <c r="F482" s="1093"/>
      <c r="G482" s="98"/>
      <c r="H482" s="93"/>
      <c r="I482" s="1091"/>
      <c r="J482" s="1084"/>
      <c r="K482" s="1084"/>
      <c r="L482" s="932"/>
      <c r="M482" s="932"/>
    </row>
    <row r="483" spans="1:13" s="106" customFormat="1" ht="15.75" hidden="1" customHeight="1" outlineLevel="1">
      <c r="A483" s="932"/>
      <c r="B483" s="1087"/>
      <c r="C483" s="1096"/>
      <c r="D483" s="1092"/>
      <c r="E483" s="1092"/>
      <c r="F483" s="1094"/>
      <c r="G483" s="103"/>
      <c r="H483" s="101"/>
      <c r="I483" s="1092"/>
      <c r="J483" s="1085"/>
      <c r="K483" s="1085"/>
      <c r="L483" s="932"/>
      <c r="M483" s="932"/>
    </row>
    <row r="484" spans="1:13" s="106" customFormat="1" ht="15.75" hidden="1" customHeight="1" outlineLevel="1">
      <c r="A484" s="932"/>
      <c r="B484" s="1086">
        <v>158</v>
      </c>
      <c r="C484" s="1095"/>
      <c r="D484" s="1091"/>
      <c r="E484" s="1091" t="s">
        <v>20</v>
      </c>
      <c r="F484" s="1093" t="str">
        <f>VLOOKUP(E484,$N$13:$O$17,2,0)</f>
        <v>-</v>
      </c>
      <c r="G484" s="95"/>
      <c r="H484" s="93"/>
      <c r="I484" s="1091"/>
      <c r="J484" s="1083"/>
      <c r="K484" s="1083"/>
      <c r="L484" s="932"/>
      <c r="M484" s="932"/>
    </row>
    <row r="485" spans="1:13" s="106" customFormat="1" ht="15.75" hidden="1" customHeight="1" outlineLevel="1">
      <c r="A485" s="932"/>
      <c r="B485" s="1086"/>
      <c r="C485" s="1095"/>
      <c r="D485" s="1091"/>
      <c r="E485" s="1091"/>
      <c r="F485" s="1093"/>
      <c r="G485" s="98"/>
      <c r="H485" s="93"/>
      <c r="I485" s="1091"/>
      <c r="J485" s="1084"/>
      <c r="K485" s="1084"/>
      <c r="L485" s="932"/>
      <c r="M485" s="932"/>
    </row>
    <row r="486" spans="1:13" s="106" customFormat="1" ht="15.75" hidden="1" customHeight="1" outlineLevel="1">
      <c r="A486" s="932"/>
      <c r="B486" s="1087"/>
      <c r="C486" s="1096"/>
      <c r="D486" s="1092"/>
      <c r="E486" s="1092"/>
      <c r="F486" s="1094"/>
      <c r="G486" s="103"/>
      <c r="H486" s="101"/>
      <c r="I486" s="1092"/>
      <c r="J486" s="1085"/>
      <c r="K486" s="1085"/>
      <c r="L486" s="932"/>
      <c r="M486" s="932"/>
    </row>
    <row r="487" spans="1:13" s="106" customFormat="1" ht="15.75" hidden="1" customHeight="1" outlineLevel="1">
      <c r="A487" s="932"/>
      <c r="B487" s="1086">
        <v>159</v>
      </c>
      <c r="C487" s="1095"/>
      <c r="D487" s="1091"/>
      <c r="E487" s="1091" t="s">
        <v>20</v>
      </c>
      <c r="F487" s="1093" t="str">
        <f>VLOOKUP(E487,$N$13:$O$17,2,0)</f>
        <v>-</v>
      </c>
      <c r="G487" s="95"/>
      <c r="H487" s="93"/>
      <c r="I487" s="1091"/>
      <c r="J487" s="1083"/>
      <c r="K487" s="1083"/>
      <c r="L487" s="932"/>
      <c r="M487" s="932"/>
    </row>
    <row r="488" spans="1:13" s="106" customFormat="1" ht="15.75" hidden="1" customHeight="1" outlineLevel="1">
      <c r="A488" s="932"/>
      <c r="B488" s="1086"/>
      <c r="C488" s="1095"/>
      <c r="D488" s="1091"/>
      <c r="E488" s="1091"/>
      <c r="F488" s="1093"/>
      <c r="G488" s="98"/>
      <c r="H488" s="93"/>
      <c r="I488" s="1091"/>
      <c r="J488" s="1084"/>
      <c r="K488" s="1084"/>
      <c r="L488" s="932"/>
      <c r="M488" s="932"/>
    </row>
    <row r="489" spans="1:13" s="106" customFormat="1" ht="15.75" hidden="1" customHeight="1" outlineLevel="1">
      <c r="A489" s="932"/>
      <c r="B489" s="1087"/>
      <c r="C489" s="1096"/>
      <c r="D489" s="1092"/>
      <c r="E489" s="1092"/>
      <c r="F489" s="1094"/>
      <c r="G489" s="103"/>
      <c r="H489" s="101"/>
      <c r="I489" s="1092"/>
      <c r="J489" s="1085"/>
      <c r="K489" s="1085"/>
      <c r="L489" s="932"/>
      <c r="M489" s="932"/>
    </row>
    <row r="490" spans="1:13" s="106" customFormat="1" ht="15.75" hidden="1" customHeight="1" outlineLevel="1">
      <c r="A490" s="932"/>
      <c r="B490" s="1086">
        <v>160</v>
      </c>
      <c r="C490" s="1095"/>
      <c r="D490" s="1091"/>
      <c r="E490" s="1091" t="s">
        <v>20</v>
      </c>
      <c r="F490" s="1093" t="str">
        <f>VLOOKUP(E490,$N$13:$O$17,2,0)</f>
        <v>-</v>
      </c>
      <c r="G490" s="95"/>
      <c r="H490" s="93"/>
      <c r="I490" s="1091"/>
      <c r="J490" s="1083"/>
      <c r="K490" s="1083"/>
      <c r="L490" s="932"/>
      <c r="M490" s="932"/>
    </row>
    <row r="491" spans="1:13" s="106" customFormat="1" ht="15.75" hidden="1" customHeight="1" outlineLevel="1">
      <c r="A491" s="932"/>
      <c r="B491" s="1086"/>
      <c r="C491" s="1095"/>
      <c r="D491" s="1091"/>
      <c r="E491" s="1091"/>
      <c r="F491" s="1093"/>
      <c r="G491" s="98"/>
      <c r="H491" s="93"/>
      <c r="I491" s="1091"/>
      <c r="J491" s="1084"/>
      <c r="K491" s="1084"/>
      <c r="L491" s="932"/>
      <c r="M491" s="932"/>
    </row>
    <row r="492" spans="1:13" s="106" customFormat="1" ht="15.75" hidden="1" customHeight="1" outlineLevel="1">
      <c r="A492" s="932"/>
      <c r="B492" s="1087"/>
      <c r="C492" s="1096"/>
      <c r="D492" s="1092"/>
      <c r="E492" s="1092"/>
      <c r="F492" s="1094"/>
      <c r="G492" s="103"/>
      <c r="H492" s="101"/>
      <c r="I492" s="1092"/>
      <c r="J492" s="1085"/>
      <c r="K492" s="1085"/>
      <c r="L492" s="932"/>
      <c r="M492" s="932"/>
    </row>
    <row r="493" spans="1:13" s="106" customFormat="1" ht="15.75" hidden="1" customHeight="1" outlineLevel="1">
      <c r="A493" s="932"/>
      <c r="B493" s="1086">
        <v>161</v>
      </c>
      <c r="C493" s="1095"/>
      <c r="D493" s="1091"/>
      <c r="E493" s="1091" t="s">
        <v>20</v>
      </c>
      <c r="F493" s="1093" t="str">
        <f>VLOOKUP(E493,$N$13:$O$17,2,0)</f>
        <v>-</v>
      </c>
      <c r="G493" s="95"/>
      <c r="H493" s="93"/>
      <c r="I493" s="1091"/>
      <c r="J493" s="1083"/>
      <c r="K493" s="1083"/>
      <c r="L493" s="932"/>
      <c r="M493" s="932"/>
    </row>
    <row r="494" spans="1:13" s="106" customFormat="1" ht="15.75" hidden="1" customHeight="1" outlineLevel="1">
      <c r="A494" s="932"/>
      <c r="B494" s="1086"/>
      <c r="C494" s="1095"/>
      <c r="D494" s="1091"/>
      <c r="E494" s="1091"/>
      <c r="F494" s="1093"/>
      <c r="G494" s="98"/>
      <c r="H494" s="93"/>
      <c r="I494" s="1091"/>
      <c r="J494" s="1084"/>
      <c r="K494" s="1084"/>
      <c r="L494" s="932"/>
      <c r="M494" s="932"/>
    </row>
    <row r="495" spans="1:13" s="106" customFormat="1" ht="15.75" hidden="1" customHeight="1" outlineLevel="1">
      <c r="A495" s="932"/>
      <c r="B495" s="1087"/>
      <c r="C495" s="1096"/>
      <c r="D495" s="1092"/>
      <c r="E495" s="1092"/>
      <c r="F495" s="1094"/>
      <c r="G495" s="103"/>
      <c r="H495" s="101"/>
      <c r="I495" s="1092"/>
      <c r="J495" s="1085"/>
      <c r="K495" s="1085"/>
      <c r="L495" s="932"/>
      <c r="M495" s="932"/>
    </row>
    <row r="496" spans="1:13" s="106" customFormat="1" ht="15.75" hidden="1" customHeight="1" outlineLevel="1">
      <c r="A496" s="932"/>
      <c r="B496" s="1086">
        <v>162</v>
      </c>
      <c r="C496" s="1095"/>
      <c r="D496" s="1091"/>
      <c r="E496" s="1091" t="s">
        <v>20</v>
      </c>
      <c r="F496" s="1093" t="str">
        <f>VLOOKUP(E496,$N$13:$O$17,2,0)</f>
        <v>-</v>
      </c>
      <c r="G496" s="95"/>
      <c r="H496" s="93"/>
      <c r="I496" s="1091"/>
      <c r="J496" s="1083"/>
      <c r="K496" s="1083"/>
      <c r="L496" s="932"/>
      <c r="M496" s="932"/>
    </row>
    <row r="497" spans="1:13" s="106" customFormat="1" ht="15.75" hidden="1" customHeight="1" outlineLevel="1">
      <c r="A497" s="932"/>
      <c r="B497" s="1086"/>
      <c r="C497" s="1095"/>
      <c r="D497" s="1091"/>
      <c r="E497" s="1091"/>
      <c r="F497" s="1093"/>
      <c r="G497" s="98"/>
      <c r="H497" s="93"/>
      <c r="I497" s="1091"/>
      <c r="J497" s="1084"/>
      <c r="K497" s="1084"/>
      <c r="L497" s="932"/>
      <c r="M497" s="932"/>
    </row>
    <row r="498" spans="1:13" s="106" customFormat="1" ht="15.75" hidden="1" customHeight="1" outlineLevel="1">
      <c r="A498" s="932"/>
      <c r="B498" s="1087"/>
      <c r="C498" s="1096"/>
      <c r="D498" s="1092"/>
      <c r="E498" s="1092"/>
      <c r="F498" s="1094"/>
      <c r="G498" s="103"/>
      <c r="H498" s="101"/>
      <c r="I498" s="1092"/>
      <c r="J498" s="1085"/>
      <c r="K498" s="1085"/>
      <c r="L498" s="932"/>
      <c r="M498" s="932"/>
    </row>
    <row r="499" spans="1:13" s="106" customFormat="1" ht="15.75" hidden="1" customHeight="1" outlineLevel="1">
      <c r="A499" s="932"/>
      <c r="B499" s="1086">
        <v>163</v>
      </c>
      <c r="C499" s="1095"/>
      <c r="D499" s="1091"/>
      <c r="E499" s="1091" t="s">
        <v>20</v>
      </c>
      <c r="F499" s="1093" t="str">
        <f>VLOOKUP(E499,$N$13:$O$17,2,0)</f>
        <v>-</v>
      </c>
      <c r="G499" s="95"/>
      <c r="H499" s="93"/>
      <c r="I499" s="1091"/>
      <c r="J499" s="1083"/>
      <c r="K499" s="1083"/>
      <c r="L499" s="932"/>
      <c r="M499" s="932"/>
    </row>
    <row r="500" spans="1:13" s="106" customFormat="1" ht="15.75" hidden="1" customHeight="1" outlineLevel="1">
      <c r="A500" s="932"/>
      <c r="B500" s="1086"/>
      <c r="C500" s="1095"/>
      <c r="D500" s="1091"/>
      <c r="E500" s="1091"/>
      <c r="F500" s="1093"/>
      <c r="G500" s="98"/>
      <c r="H500" s="93"/>
      <c r="I500" s="1091"/>
      <c r="J500" s="1084"/>
      <c r="K500" s="1084"/>
      <c r="L500" s="932"/>
      <c r="M500" s="932"/>
    </row>
    <row r="501" spans="1:13" s="106" customFormat="1" ht="15.75" hidden="1" customHeight="1" outlineLevel="1">
      <c r="A501" s="932"/>
      <c r="B501" s="1087"/>
      <c r="C501" s="1096"/>
      <c r="D501" s="1092"/>
      <c r="E501" s="1092"/>
      <c r="F501" s="1094"/>
      <c r="G501" s="103"/>
      <c r="H501" s="101"/>
      <c r="I501" s="1092"/>
      <c r="J501" s="1085"/>
      <c r="K501" s="1085"/>
      <c r="L501" s="932"/>
      <c r="M501" s="932"/>
    </row>
    <row r="502" spans="1:13" s="106" customFormat="1" ht="15.75" hidden="1" customHeight="1" outlineLevel="1">
      <c r="A502" s="932"/>
      <c r="B502" s="1086">
        <v>164</v>
      </c>
      <c r="C502" s="1095"/>
      <c r="D502" s="1091"/>
      <c r="E502" s="1091" t="s">
        <v>20</v>
      </c>
      <c r="F502" s="1093" t="str">
        <f>VLOOKUP(E502,$N$13:$O$17,2,0)</f>
        <v>-</v>
      </c>
      <c r="G502" s="95"/>
      <c r="H502" s="93"/>
      <c r="I502" s="1091"/>
      <c r="J502" s="1083"/>
      <c r="K502" s="1083"/>
      <c r="L502" s="932"/>
      <c r="M502" s="932"/>
    </row>
    <row r="503" spans="1:13" s="106" customFormat="1" ht="15.75" hidden="1" customHeight="1" outlineLevel="1">
      <c r="A503" s="932"/>
      <c r="B503" s="1086"/>
      <c r="C503" s="1095"/>
      <c r="D503" s="1091"/>
      <c r="E503" s="1091"/>
      <c r="F503" s="1093"/>
      <c r="G503" s="98"/>
      <c r="H503" s="93"/>
      <c r="I503" s="1091"/>
      <c r="J503" s="1084"/>
      <c r="K503" s="1084"/>
      <c r="L503" s="932"/>
      <c r="M503" s="932"/>
    </row>
    <row r="504" spans="1:13" s="106" customFormat="1" ht="15.75" hidden="1" customHeight="1" outlineLevel="1">
      <c r="A504" s="932"/>
      <c r="B504" s="1087"/>
      <c r="C504" s="1096"/>
      <c r="D504" s="1092"/>
      <c r="E504" s="1092"/>
      <c r="F504" s="1094"/>
      <c r="G504" s="103"/>
      <c r="H504" s="101"/>
      <c r="I504" s="1092"/>
      <c r="J504" s="1085"/>
      <c r="K504" s="1085"/>
      <c r="L504" s="932"/>
      <c r="M504" s="932"/>
    </row>
    <row r="505" spans="1:13" s="106" customFormat="1" ht="15.75" hidden="1" customHeight="1" outlineLevel="1">
      <c r="A505" s="932"/>
      <c r="B505" s="1086">
        <v>165</v>
      </c>
      <c r="C505" s="1095"/>
      <c r="D505" s="1091"/>
      <c r="E505" s="1091" t="s">
        <v>20</v>
      </c>
      <c r="F505" s="1093" t="str">
        <f>VLOOKUP(E505,$N$13:$O$17,2,0)</f>
        <v>-</v>
      </c>
      <c r="G505" s="95"/>
      <c r="H505" s="93"/>
      <c r="I505" s="1091"/>
      <c r="J505" s="1083"/>
      <c r="K505" s="1083"/>
      <c r="L505" s="932"/>
      <c r="M505" s="932"/>
    </row>
    <row r="506" spans="1:13" s="106" customFormat="1" ht="15.75" hidden="1" customHeight="1" outlineLevel="1">
      <c r="A506" s="932"/>
      <c r="B506" s="1086"/>
      <c r="C506" s="1095"/>
      <c r="D506" s="1091"/>
      <c r="E506" s="1091"/>
      <c r="F506" s="1093"/>
      <c r="G506" s="98"/>
      <c r="H506" s="93"/>
      <c r="I506" s="1091"/>
      <c r="J506" s="1084"/>
      <c r="K506" s="1084"/>
      <c r="L506" s="932"/>
      <c r="M506" s="932"/>
    </row>
    <row r="507" spans="1:13" s="106" customFormat="1" ht="15.75" hidden="1" customHeight="1" outlineLevel="1">
      <c r="A507" s="932"/>
      <c r="B507" s="1087"/>
      <c r="C507" s="1096"/>
      <c r="D507" s="1092"/>
      <c r="E507" s="1092"/>
      <c r="F507" s="1094"/>
      <c r="G507" s="103"/>
      <c r="H507" s="101"/>
      <c r="I507" s="1092"/>
      <c r="J507" s="1085"/>
      <c r="K507" s="1085"/>
      <c r="L507" s="932"/>
      <c r="M507" s="932"/>
    </row>
    <row r="508" spans="1:13" s="106" customFormat="1" ht="15.75" hidden="1" customHeight="1" outlineLevel="1">
      <c r="A508" s="932"/>
      <c r="B508" s="1086">
        <v>166</v>
      </c>
      <c r="C508" s="1095"/>
      <c r="D508" s="1091"/>
      <c r="E508" s="1091" t="s">
        <v>20</v>
      </c>
      <c r="F508" s="1093" t="str">
        <f>VLOOKUP(E508,$N$13:$O$17,2,0)</f>
        <v>-</v>
      </c>
      <c r="G508" s="95"/>
      <c r="H508" s="93"/>
      <c r="I508" s="1091"/>
      <c r="J508" s="1083"/>
      <c r="K508" s="1083"/>
      <c r="L508" s="932"/>
      <c r="M508" s="932"/>
    </row>
    <row r="509" spans="1:13" s="106" customFormat="1" ht="15.75" hidden="1" customHeight="1" outlineLevel="1">
      <c r="A509" s="932"/>
      <c r="B509" s="1086"/>
      <c r="C509" s="1095"/>
      <c r="D509" s="1091"/>
      <c r="E509" s="1091"/>
      <c r="F509" s="1093"/>
      <c r="G509" s="98"/>
      <c r="H509" s="93"/>
      <c r="I509" s="1091"/>
      <c r="J509" s="1084"/>
      <c r="K509" s="1084"/>
      <c r="L509" s="932"/>
      <c r="M509" s="932"/>
    </row>
    <row r="510" spans="1:13" s="106" customFormat="1" ht="15.75" hidden="1" customHeight="1" outlineLevel="1">
      <c r="A510" s="932"/>
      <c r="B510" s="1087"/>
      <c r="C510" s="1096"/>
      <c r="D510" s="1092"/>
      <c r="E510" s="1092"/>
      <c r="F510" s="1094"/>
      <c r="G510" s="103"/>
      <c r="H510" s="101"/>
      <c r="I510" s="1092"/>
      <c r="J510" s="1085"/>
      <c r="K510" s="1085"/>
      <c r="L510" s="932"/>
      <c r="M510" s="932"/>
    </row>
    <row r="511" spans="1:13" s="106" customFormat="1" ht="15.75" hidden="1" customHeight="1" outlineLevel="1">
      <c r="A511" s="932"/>
      <c r="B511" s="1086">
        <v>167</v>
      </c>
      <c r="C511" s="1095"/>
      <c r="D511" s="1091"/>
      <c r="E511" s="1091" t="s">
        <v>20</v>
      </c>
      <c r="F511" s="1093" t="str">
        <f>VLOOKUP(E511,$N$13:$O$17,2,0)</f>
        <v>-</v>
      </c>
      <c r="G511" s="95"/>
      <c r="H511" s="93"/>
      <c r="I511" s="1091"/>
      <c r="J511" s="1083"/>
      <c r="K511" s="1083"/>
      <c r="L511" s="932"/>
      <c r="M511" s="932"/>
    </row>
    <row r="512" spans="1:13" s="106" customFormat="1" ht="15.75" hidden="1" customHeight="1" outlineLevel="1">
      <c r="A512" s="932"/>
      <c r="B512" s="1086"/>
      <c r="C512" s="1095"/>
      <c r="D512" s="1091"/>
      <c r="E512" s="1091"/>
      <c r="F512" s="1093"/>
      <c r="G512" s="98"/>
      <c r="H512" s="93"/>
      <c r="I512" s="1091"/>
      <c r="J512" s="1084"/>
      <c r="K512" s="1084"/>
      <c r="L512" s="932"/>
      <c r="M512" s="932"/>
    </row>
    <row r="513" spans="1:13" s="106" customFormat="1" ht="15.75" hidden="1" customHeight="1" outlineLevel="1">
      <c r="A513" s="932"/>
      <c r="B513" s="1087"/>
      <c r="C513" s="1096"/>
      <c r="D513" s="1092"/>
      <c r="E513" s="1092"/>
      <c r="F513" s="1094"/>
      <c r="G513" s="103"/>
      <c r="H513" s="101"/>
      <c r="I513" s="1092"/>
      <c r="J513" s="1085"/>
      <c r="K513" s="1085"/>
      <c r="L513" s="932"/>
      <c r="M513" s="932"/>
    </row>
    <row r="514" spans="1:13" s="106" customFormat="1" ht="15.75" hidden="1" customHeight="1" outlineLevel="1">
      <c r="A514" s="932"/>
      <c r="B514" s="1086">
        <v>168</v>
      </c>
      <c r="C514" s="1095"/>
      <c r="D514" s="1091"/>
      <c r="E514" s="1091" t="s">
        <v>20</v>
      </c>
      <c r="F514" s="1093" t="str">
        <f>VLOOKUP(E514,$N$13:$O$17,2,0)</f>
        <v>-</v>
      </c>
      <c r="G514" s="95"/>
      <c r="H514" s="93"/>
      <c r="I514" s="1091"/>
      <c r="J514" s="1083"/>
      <c r="K514" s="1083"/>
      <c r="L514" s="932"/>
      <c r="M514" s="932"/>
    </row>
    <row r="515" spans="1:13" s="106" customFormat="1" ht="15.75" hidden="1" customHeight="1" outlineLevel="1">
      <c r="A515" s="932"/>
      <c r="B515" s="1086"/>
      <c r="C515" s="1095"/>
      <c r="D515" s="1091"/>
      <c r="E515" s="1091"/>
      <c r="F515" s="1093"/>
      <c r="G515" s="98"/>
      <c r="H515" s="93"/>
      <c r="I515" s="1091"/>
      <c r="J515" s="1084"/>
      <c r="K515" s="1084"/>
      <c r="L515" s="932"/>
      <c r="M515" s="932"/>
    </row>
    <row r="516" spans="1:13" s="106" customFormat="1" ht="15.75" hidden="1" customHeight="1" outlineLevel="1">
      <c r="A516" s="932"/>
      <c r="B516" s="1087"/>
      <c r="C516" s="1096"/>
      <c r="D516" s="1092"/>
      <c r="E516" s="1092"/>
      <c r="F516" s="1094"/>
      <c r="G516" s="103"/>
      <c r="H516" s="101"/>
      <c r="I516" s="1092"/>
      <c r="J516" s="1085"/>
      <c r="K516" s="1085"/>
      <c r="L516" s="932"/>
      <c r="M516" s="932"/>
    </row>
    <row r="517" spans="1:13" s="106" customFormat="1" ht="15.75" hidden="1" customHeight="1" outlineLevel="1">
      <c r="A517" s="932"/>
      <c r="B517" s="1086">
        <v>169</v>
      </c>
      <c r="C517" s="1095"/>
      <c r="D517" s="1091"/>
      <c r="E517" s="1091" t="s">
        <v>20</v>
      </c>
      <c r="F517" s="1093" t="str">
        <f>VLOOKUP(E517,$N$13:$O$17,2,0)</f>
        <v>-</v>
      </c>
      <c r="G517" s="95"/>
      <c r="H517" s="93"/>
      <c r="I517" s="1091"/>
      <c r="J517" s="1083"/>
      <c r="K517" s="1083"/>
      <c r="L517" s="932"/>
      <c r="M517" s="932"/>
    </row>
    <row r="518" spans="1:13" s="106" customFormat="1" ht="15.75" hidden="1" customHeight="1" outlineLevel="1">
      <c r="A518" s="932"/>
      <c r="B518" s="1086"/>
      <c r="C518" s="1095"/>
      <c r="D518" s="1091"/>
      <c r="E518" s="1091"/>
      <c r="F518" s="1093"/>
      <c r="G518" s="98"/>
      <c r="H518" s="93"/>
      <c r="I518" s="1091"/>
      <c r="J518" s="1084"/>
      <c r="K518" s="1084"/>
      <c r="L518" s="932"/>
      <c r="M518" s="932"/>
    </row>
    <row r="519" spans="1:13" s="106" customFormat="1" ht="15.75" hidden="1" customHeight="1" outlineLevel="1">
      <c r="A519" s="932"/>
      <c r="B519" s="1087"/>
      <c r="C519" s="1096"/>
      <c r="D519" s="1092"/>
      <c r="E519" s="1092"/>
      <c r="F519" s="1094"/>
      <c r="G519" s="103"/>
      <c r="H519" s="101"/>
      <c r="I519" s="1092"/>
      <c r="J519" s="1085"/>
      <c r="K519" s="1085"/>
      <c r="L519" s="932"/>
      <c r="M519" s="932"/>
    </row>
    <row r="520" spans="1:13" s="106" customFormat="1" ht="15.75" hidden="1" customHeight="1" outlineLevel="1">
      <c r="A520" s="932"/>
      <c r="B520" s="1086">
        <v>170</v>
      </c>
      <c r="C520" s="1095"/>
      <c r="D520" s="1091"/>
      <c r="E520" s="1091" t="s">
        <v>20</v>
      </c>
      <c r="F520" s="1093" t="str">
        <f>VLOOKUP(E520,$N$13:$O$17,2,0)</f>
        <v>-</v>
      </c>
      <c r="G520" s="95"/>
      <c r="H520" s="93"/>
      <c r="I520" s="1091"/>
      <c r="J520" s="1083"/>
      <c r="K520" s="1083"/>
      <c r="L520" s="932"/>
      <c r="M520" s="932"/>
    </row>
    <row r="521" spans="1:13" s="106" customFormat="1" ht="15.75" hidden="1" customHeight="1" outlineLevel="1">
      <c r="A521" s="932"/>
      <c r="B521" s="1086"/>
      <c r="C521" s="1095"/>
      <c r="D521" s="1091"/>
      <c r="E521" s="1091"/>
      <c r="F521" s="1093"/>
      <c r="G521" s="98"/>
      <c r="H521" s="93"/>
      <c r="I521" s="1091"/>
      <c r="J521" s="1084"/>
      <c r="K521" s="1084"/>
      <c r="L521" s="932"/>
      <c r="M521" s="932"/>
    </row>
    <row r="522" spans="1:13" s="106" customFormat="1" ht="15.75" hidden="1" customHeight="1" outlineLevel="1">
      <c r="A522" s="932"/>
      <c r="B522" s="1087"/>
      <c r="C522" s="1096"/>
      <c r="D522" s="1092"/>
      <c r="E522" s="1092"/>
      <c r="F522" s="1094"/>
      <c r="G522" s="103"/>
      <c r="H522" s="101"/>
      <c r="I522" s="1092"/>
      <c r="J522" s="1085"/>
      <c r="K522" s="1085"/>
      <c r="L522" s="932"/>
      <c r="M522" s="932"/>
    </row>
    <row r="523" spans="1:13" s="106" customFormat="1" ht="15.75" hidden="1" customHeight="1" outlineLevel="1">
      <c r="A523" s="932"/>
      <c r="B523" s="1086">
        <v>171</v>
      </c>
      <c r="C523" s="1095"/>
      <c r="D523" s="1091"/>
      <c r="E523" s="1091" t="s">
        <v>20</v>
      </c>
      <c r="F523" s="1093" t="str">
        <f>VLOOKUP(E523,$N$13:$O$17,2,0)</f>
        <v>-</v>
      </c>
      <c r="G523" s="95"/>
      <c r="H523" s="93"/>
      <c r="I523" s="1091"/>
      <c r="J523" s="1083"/>
      <c r="K523" s="1083"/>
      <c r="L523" s="932"/>
      <c r="M523" s="932"/>
    </row>
    <row r="524" spans="1:13" s="106" customFormat="1" ht="15.75" hidden="1" customHeight="1" outlineLevel="1">
      <c r="A524" s="932"/>
      <c r="B524" s="1086"/>
      <c r="C524" s="1095"/>
      <c r="D524" s="1091"/>
      <c r="E524" s="1091"/>
      <c r="F524" s="1093"/>
      <c r="G524" s="98"/>
      <c r="H524" s="93"/>
      <c r="I524" s="1091"/>
      <c r="J524" s="1084"/>
      <c r="K524" s="1084"/>
      <c r="L524" s="932"/>
      <c r="M524" s="932"/>
    </row>
    <row r="525" spans="1:13" s="106" customFormat="1" ht="15.75" hidden="1" customHeight="1" outlineLevel="1">
      <c r="A525" s="932"/>
      <c r="B525" s="1087"/>
      <c r="C525" s="1096"/>
      <c r="D525" s="1092"/>
      <c r="E525" s="1092"/>
      <c r="F525" s="1094"/>
      <c r="G525" s="103"/>
      <c r="H525" s="101"/>
      <c r="I525" s="1092"/>
      <c r="J525" s="1085"/>
      <c r="K525" s="1085"/>
      <c r="L525" s="932"/>
      <c r="M525" s="932"/>
    </row>
    <row r="526" spans="1:13" s="106" customFormat="1" ht="15.75" hidden="1" customHeight="1" outlineLevel="1">
      <c r="A526" s="932"/>
      <c r="B526" s="1086">
        <v>172</v>
      </c>
      <c r="C526" s="1095"/>
      <c r="D526" s="1091"/>
      <c r="E526" s="1091" t="s">
        <v>20</v>
      </c>
      <c r="F526" s="1093" t="str">
        <f>VLOOKUP(E526,$N$13:$O$17,2,0)</f>
        <v>-</v>
      </c>
      <c r="G526" s="95"/>
      <c r="H526" s="93"/>
      <c r="I526" s="1091"/>
      <c r="J526" s="1083"/>
      <c r="K526" s="1083"/>
      <c r="L526" s="932"/>
      <c r="M526" s="932"/>
    </row>
    <row r="527" spans="1:13" s="106" customFormat="1" ht="15.75" hidden="1" customHeight="1" outlineLevel="1">
      <c r="A527" s="932"/>
      <c r="B527" s="1086"/>
      <c r="C527" s="1095"/>
      <c r="D527" s="1091"/>
      <c r="E527" s="1091"/>
      <c r="F527" s="1093"/>
      <c r="G527" s="98"/>
      <c r="H527" s="93"/>
      <c r="I527" s="1091"/>
      <c r="J527" s="1084"/>
      <c r="K527" s="1084"/>
      <c r="L527" s="932"/>
      <c r="M527" s="932"/>
    </row>
    <row r="528" spans="1:13" s="106" customFormat="1" ht="15.75" hidden="1" customHeight="1" outlineLevel="1">
      <c r="A528" s="932"/>
      <c r="B528" s="1087"/>
      <c r="C528" s="1096"/>
      <c r="D528" s="1092"/>
      <c r="E528" s="1092"/>
      <c r="F528" s="1094"/>
      <c r="G528" s="103"/>
      <c r="H528" s="101"/>
      <c r="I528" s="1092"/>
      <c r="J528" s="1085"/>
      <c r="K528" s="1085"/>
      <c r="L528" s="932"/>
      <c r="M528" s="932"/>
    </row>
    <row r="529" spans="1:13" s="106" customFormat="1" ht="15.75" hidden="1" customHeight="1" outlineLevel="1">
      <c r="A529" s="932"/>
      <c r="B529" s="1086">
        <v>173</v>
      </c>
      <c r="C529" s="1095"/>
      <c r="D529" s="1091"/>
      <c r="E529" s="1091" t="s">
        <v>20</v>
      </c>
      <c r="F529" s="1093" t="str">
        <f>VLOOKUP(E529,$N$13:$O$17,2,0)</f>
        <v>-</v>
      </c>
      <c r="G529" s="95"/>
      <c r="H529" s="93"/>
      <c r="I529" s="1091"/>
      <c r="J529" s="1083"/>
      <c r="K529" s="1083"/>
      <c r="L529" s="932"/>
      <c r="M529" s="932"/>
    </row>
    <row r="530" spans="1:13" s="106" customFormat="1" ht="15.75" hidden="1" customHeight="1" outlineLevel="1">
      <c r="A530" s="932"/>
      <c r="B530" s="1086"/>
      <c r="C530" s="1095"/>
      <c r="D530" s="1091"/>
      <c r="E530" s="1091"/>
      <c r="F530" s="1093"/>
      <c r="G530" s="98"/>
      <c r="H530" s="93"/>
      <c r="I530" s="1091"/>
      <c r="J530" s="1084"/>
      <c r="K530" s="1084"/>
      <c r="L530" s="932"/>
      <c r="M530" s="932"/>
    </row>
    <row r="531" spans="1:13" s="106" customFormat="1" ht="15.75" hidden="1" customHeight="1" outlineLevel="1">
      <c r="A531" s="932"/>
      <c r="B531" s="1087"/>
      <c r="C531" s="1096"/>
      <c r="D531" s="1092"/>
      <c r="E531" s="1092"/>
      <c r="F531" s="1094"/>
      <c r="G531" s="103"/>
      <c r="H531" s="101"/>
      <c r="I531" s="1092"/>
      <c r="J531" s="1085"/>
      <c r="K531" s="1085"/>
      <c r="L531" s="932"/>
      <c r="M531" s="932"/>
    </row>
    <row r="532" spans="1:13" s="106" customFormat="1" ht="15.75" hidden="1" customHeight="1" outlineLevel="1">
      <c r="A532" s="932"/>
      <c r="B532" s="1086">
        <v>174</v>
      </c>
      <c r="C532" s="1095"/>
      <c r="D532" s="1091"/>
      <c r="E532" s="1091" t="s">
        <v>20</v>
      </c>
      <c r="F532" s="1093" t="str">
        <f>VLOOKUP(E532,$N$13:$O$17,2,0)</f>
        <v>-</v>
      </c>
      <c r="G532" s="95"/>
      <c r="H532" s="93"/>
      <c r="I532" s="1091"/>
      <c r="J532" s="1083"/>
      <c r="K532" s="1083"/>
      <c r="L532" s="932"/>
      <c r="M532" s="932"/>
    </row>
    <row r="533" spans="1:13" s="106" customFormat="1" ht="15.75" hidden="1" customHeight="1" outlineLevel="1">
      <c r="A533" s="932"/>
      <c r="B533" s="1086"/>
      <c r="C533" s="1095"/>
      <c r="D533" s="1091"/>
      <c r="E533" s="1091"/>
      <c r="F533" s="1093"/>
      <c r="G533" s="98"/>
      <c r="H533" s="93"/>
      <c r="I533" s="1091"/>
      <c r="J533" s="1084"/>
      <c r="K533" s="1084"/>
      <c r="L533" s="932"/>
      <c r="M533" s="932"/>
    </row>
    <row r="534" spans="1:13" s="106" customFormat="1" ht="15.75" hidden="1" customHeight="1" outlineLevel="1">
      <c r="A534" s="932"/>
      <c r="B534" s="1087"/>
      <c r="C534" s="1096"/>
      <c r="D534" s="1092"/>
      <c r="E534" s="1092"/>
      <c r="F534" s="1094"/>
      <c r="G534" s="103"/>
      <c r="H534" s="101"/>
      <c r="I534" s="1092"/>
      <c r="J534" s="1085"/>
      <c r="K534" s="1085"/>
      <c r="L534" s="932"/>
      <c r="M534" s="932"/>
    </row>
    <row r="535" spans="1:13" s="106" customFormat="1" ht="15.75" hidden="1" customHeight="1" outlineLevel="1">
      <c r="A535" s="932"/>
      <c r="B535" s="1086">
        <v>175</v>
      </c>
      <c r="C535" s="1095"/>
      <c r="D535" s="1091"/>
      <c r="E535" s="1091" t="s">
        <v>20</v>
      </c>
      <c r="F535" s="1093" t="str">
        <f>VLOOKUP(E535,$N$13:$O$17,2,0)</f>
        <v>-</v>
      </c>
      <c r="G535" s="95"/>
      <c r="H535" s="93"/>
      <c r="I535" s="1091"/>
      <c r="J535" s="1083"/>
      <c r="K535" s="1083"/>
      <c r="L535" s="932"/>
      <c r="M535" s="932"/>
    </row>
    <row r="536" spans="1:13" s="106" customFormat="1" ht="15.75" hidden="1" customHeight="1" outlineLevel="1">
      <c r="A536" s="932"/>
      <c r="B536" s="1086"/>
      <c r="C536" s="1095"/>
      <c r="D536" s="1091"/>
      <c r="E536" s="1091"/>
      <c r="F536" s="1093"/>
      <c r="G536" s="98"/>
      <c r="H536" s="93"/>
      <c r="I536" s="1091"/>
      <c r="J536" s="1084"/>
      <c r="K536" s="1084"/>
      <c r="L536" s="932"/>
      <c r="M536" s="932"/>
    </row>
    <row r="537" spans="1:13" s="106" customFormat="1" ht="15.75" hidden="1" customHeight="1" outlineLevel="1">
      <c r="A537" s="932"/>
      <c r="B537" s="1087"/>
      <c r="C537" s="1096"/>
      <c r="D537" s="1092"/>
      <c r="E537" s="1092"/>
      <c r="F537" s="1094"/>
      <c r="G537" s="103"/>
      <c r="H537" s="101"/>
      <c r="I537" s="1092"/>
      <c r="J537" s="1085"/>
      <c r="K537" s="1085"/>
      <c r="L537" s="932"/>
      <c r="M537" s="932"/>
    </row>
    <row r="538" spans="1:13" s="106" customFormat="1" ht="15.75" hidden="1" customHeight="1" outlineLevel="1">
      <c r="A538" s="932"/>
      <c r="B538" s="1086">
        <v>176</v>
      </c>
      <c r="C538" s="1095"/>
      <c r="D538" s="1091"/>
      <c r="E538" s="1091" t="s">
        <v>20</v>
      </c>
      <c r="F538" s="1093" t="str">
        <f>VLOOKUP(E538,$N$13:$O$17,2,0)</f>
        <v>-</v>
      </c>
      <c r="G538" s="95"/>
      <c r="H538" s="93"/>
      <c r="I538" s="1091"/>
      <c r="J538" s="1083"/>
      <c r="K538" s="1083"/>
      <c r="L538" s="932"/>
      <c r="M538" s="932"/>
    </row>
    <row r="539" spans="1:13" s="106" customFormat="1" ht="15.75" hidden="1" customHeight="1" outlineLevel="1">
      <c r="A539" s="932"/>
      <c r="B539" s="1086"/>
      <c r="C539" s="1095"/>
      <c r="D539" s="1091"/>
      <c r="E539" s="1091"/>
      <c r="F539" s="1093"/>
      <c r="G539" s="98"/>
      <c r="H539" s="93"/>
      <c r="I539" s="1091"/>
      <c r="J539" s="1084"/>
      <c r="K539" s="1084"/>
      <c r="L539" s="932"/>
      <c r="M539" s="932"/>
    </row>
    <row r="540" spans="1:13" s="106" customFormat="1" ht="15.75" hidden="1" customHeight="1" outlineLevel="1">
      <c r="A540" s="932"/>
      <c r="B540" s="1087"/>
      <c r="C540" s="1096"/>
      <c r="D540" s="1092"/>
      <c r="E540" s="1092"/>
      <c r="F540" s="1094"/>
      <c r="G540" s="103"/>
      <c r="H540" s="101"/>
      <c r="I540" s="1092"/>
      <c r="J540" s="1085"/>
      <c r="K540" s="1085"/>
      <c r="L540" s="932"/>
      <c r="M540" s="932"/>
    </row>
    <row r="541" spans="1:13" s="106" customFormat="1" ht="15.75" hidden="1" customHeight="1" outlineLevel="1">
      <c r="A541" s="932"/>
      <c r="B541" s="1086">
        <v>177</v>
      </c>
      <c r="C541" s="1095"/>
      <c r="D541" s="1091"/>
      <c r="E541" s="1091" t="s">
        <v>20</v>
      </c>
      <c r="F541" s="1093" t="str">
        <f>VLOOKUP(E541,$N$13:$O$17,2,0)</f>
        <v>-</v>
      </c>
      <c r="G541" s="95"/>
      <c r="H541" s="93"/>
      <c r="I541" s="1091"/>
      <c r="J541" s="1083"/>
      <c r="K541" s="1083"/>
      <c r="L541" s="932"/>
      <c r="M541" s="932"/>
    </row>
    <row r="542" spans="1:13" s="106" customFormat="1" ht="15.75" hidden="1" customHeight="1" outlineLevel="1">
      <c r="A542" s="932"/>
      <c r="B542" s="1086"/>
      <c r="C542" s="1095"/>
      <c r="D542" s="1091"/>
      <c r="E542" s="1091"/>
      <c r="F542" s="1093"/>
      <c r="G542" s="98"/>
      <c r="H542" s="93"/>
      <c r="I542" s="1091"/>
      <c r="J542" s="1084"/>
      <c r="K542" s="1084"/>
      <c r="L542" s="932"/>
      <c r="M542" s="932"/>
    </row>
    <row r="543" spans="1:13" s="106" customFormat="1" ht="15.75" hidden="1" customHeight="1" outlineLevel="1">
      <c r="A543" s="932"/>
      <c r="B543" s="1087"/>
      <c r="C543" s="1096"/>
      <c r="D543" s="1092"/>
      <c r="E543" s="1092"/>
      <c r="F543" s="1094"/>
      <c r="G543" s="103"/>
      <c r="H543" s="101"/>
      <c r="I543" s="1092"/>
      <c r="J543" s="1085"/>
      <c r="K543" s="1085"/>
      <c r="L543" s="932"/>
      <c r="M543" s="932"/>
    </row>
    <row r="544" spans="1:13" s="106" customFormat="1" ht="15.75" hidden="1" customHeight="1" outlineLevel="1">
      <c r="A544" s="932"/>
      <c r="B544" s="1086">
        <v>178</v>
      </c>
      <c r="C544" s="1095"/>
      <c r="D544" s="1091"/>
      <c r="E544" s="1091" t="s">
        <v>20</v>
      </c>
      <c r="F544" s="1093" t="str">
        <f>VLOOKUP(E544,$N$13:$O$17,2,0)</f>
        <v>-</v>
      </c>
      <c r="G544" s="95"/>
      <c r="H544" s="93"/>
      <c r="I544" s="1091"/>
      <c r="J544" s="1083"/>
      <c r="K544" s="1083"/>
      <c r="L544" s="932"/>
      <c r="M544" s="932"/>
    </row>
    <row r="545" spans="1:13" s="106" customFormat="1" ht="15.75" hidden="1" customHeight="1" outlineLevel="1">
      <c r="A545" s="932"/>
      <c r="B545" s="1086"/>
      <c r="C545" s="1095"/>
      <c r="D545" s="1091"/>
      <c r="E545" s="1091"/>
      <c r="F545" s="1093"/>
      <c r="G545" s="98"/>
      <c r="H545" s="93"/>
      <c r="I545" s="1091"/>
      <c r="J545" s="1084"/>
      <c r="K545" s="1084"/>
      <c r="L545" s="932"/>
      <c r="M545" s="932"/>
    </row>
    <row r="546" spans="1:13" s="106" customFormat="1" ht="15.75" hidden="1" customHeight="1" outlineLevel="1">
      <c r="A546" s="932"/>
      <c r="B546" s="1087"/>
      <c r="C546" s="1096"/>
      <c r="D546" s="1092"/>
      <c r="E546" s="1092"/>
      <c r="F546" s="1094"/>
      <c r="G546" s="103"/>
      <c r="H546" s="101"/>
      <c r="I546" s="1092"/>
      <c r="J546" s="1085"/>
      <c r="K546" s="1085"/>
      <c r="L546" s="932"/>
      <c r="M546" s="932"/>
    </row>
    <row r="547" spans="1:13" s="106" customFormat="1" ht="15.75" hidden="1" customHeight="1" outlineLevel="1">
      <c r="A547" s="932"/>
      <c r="B547" s="1086">
        <v>179</v>
      </c>
      <c r="C547" s="1095"/>
      <c r="D547" s="1091"/>
      <c r="E547" s="1091" t="s">
        <v>20</v>
      </c>
      <c r="F547" s="1093" t="str">
        <f>VLOOKUP(E547,$N$13:$O$17,2,0)</f>
        <v>-</v>
      </c>
      <c r="G547" s="95"/>
      <c r="H547" s="93"/>
      <c r="I547" s="1091"/>
      <c r="J547" s="1083"/>
      <c r="K547" s="1083"/>
      <c r="L547" s="932"/>
      <c r="M547" s="932"/>
    </row>
    <row r="548" spans="1:13" s="106" customFormat="1" ht="15.75" hidden="1" customHeight="1" outlineLevel="1">
      <c r="A548" s="932"/>
      <c r="B548" s="1086"/>
      <c r="C548" s="1095"/>
      <c r="D548" s="1091"/>
      <c r="E548" s="1091"/>
      <c r="F548" s="1093"/>
      <c r="G548" s="98"/>
      <c r="H548" s="93"/>
      <c r="I548" s="1091"/>
      <c r="J548" s="1084"/>
      <c r="K548" s="1084"/>
      <c r="L548" s="932"/>
      <c r="M548" s="932"/>
    </row>
    <row r="549" spans="1:13" s="106" customFormat="1" ht="15.75" hidden="1" customHeight="1" outlineLevel="1">
      <c r="A549" s="932"/>
      <c r="B549" s="1087"/>
      <c r="C549" s="1096"/>
      <c r="D549" s="1092"/>
      <c r="E549" s="1092"/>
      <c r="F549" s="1094"/>
      <c r="G549" s="103"/>
      <c r="H549" s="101"/>
      <c r="I549" s="1092"/>
      <c r="J549" s="1085"/>
      <c r="K549" s="1085"/>
      <c r="L549" s="932"/>
      <c r="M549" s="932"/>
    </row>
    <row r="550" spans="1:13" s="106" customFormat="1" ht="15.75" hidden="1" customHeight="1" outlineLevel="1">
      <c r="A550" s="932"/>
      <c r="B550" s="1086">
        <v>180</v>
      </c>
      <c r="C550" s="1095"/>
      <c r="D550" s="1091"/>
      <c r="E550" s="1091" t="s">
        <v>20</v>
      </c>
      <c r="F550" s="1093" t="str">
        <f>VLOOKUP(E550,$N$13:$O$17,2,0)</f>
        <v>-</v>
      </c>
      <c r="G550" s="95"/>
      <c r="H550" s="93"/>
      <c r="I550" s="1091"/>
      <c r="J550" s="1083"/>
      <c r="K550" s="1083"/>
      <c r="L550" s="932"/>
      <c r="M550" s="932"/>
    </row>
    <row r="551" spans="1:13" s="106" customFormat="1" ht="15.75" hidden="1" customHeight="1" outlineLevel="1">
      <c r="A551" s="932"/>
      <c r="B551" s="1086"/>
      <c r="C551" s="1095"/>
      <c r="D551" s="1091"/>
      <c r="E551" s="1091"/>
      <c r="F551" s="1093"/>
      <c r="G551" s="98"/>
      <c r="H551" s="93"/>
      <c r="I551" s="1091"/>
      <c r="J551" s="1084"/>
      <c r="K551" s="1084"/>
      <c r="L551" s="932"/>
      <c r="M551" s="932"/>
    </row>
    <row r="552" spans="1:13" s="106" customFormat="1" ht="15.75" hidden="1" customHeight="1" outlineLevel="1">
      <c r="A552" s="932"/>
      <c r="B552" s="1087"/>
      <c r="C552" s="1096"/>
      <c r="D552" s="1092"/>
      <c r="E552" s="1092"/>
      <c r="F552" s="1094"/>
      <c r="G552" s="103"/>
      <c r="H552" s="101"/>
      <c r="I552" s="1092"/>
      <c r="J552" s="1085"/>
      <c r="K552" s="1085"/>
      <c r="L552" s="932"/>
      <c r="M552" s="932"/>
    </row>
    <row r="553" spans="1:13" s="106" customFormat="1" ht="15.75" hidden="1" customHeight="1" outlineLevel="1">
      <c r="A553" s="932"/>
      <c r="B553" s="1086">
        <v>181</v>
      </c>
      <c r="C553" s="1095"/>
      <c r="D553" s="1091"/>
      <c r="E553" s="1091" t="s">
        <v>20</v>
      </c>
      <c r="F553" s="1093" t="str">
        <f>VLOOKUP(E553,$N$13:$O$17,2,0)</f>
        <v>-</v>
      </c>
      <c r="G553" s="95"/>
      <c r="H553" s="93"/>
      <c r="I553" s="1091"/>
      <c r="J553" s="1083"/>
      <c r="K553" s="1083"/>
      <c r="L553" s="932"/>
      <c r="M553" s="932"/>
    </row>
    <row r="554" spans="1:13" s="106" customFormat="1" ht="15.75" hidden="1" customHeight="1" outlineLevel="1">
      <c r="A554" s="932"/>
      <c r="B554" s="1086"/>
      <c r="C554" s="1095"/>
      <c r="D554" s="1091"/>
      <c r="E554" s="1091"/>
      <c r="F554" s="1093"/>
      <c r="G554" s="98"/>
      <c r="H554" s="93"/>
      <c r="I554" s="1091"/>
      <c r="J554" s="1084"/>
      <c r="K554" s="1084"/>
      <c r="L554" s="932"/>
      <c r="M554" s="932"/>
    </row>
    <row r="555" spans="1:13" s="106" customFormat="1" ht="15.75" hidden="1" customHeight="1" outlineLevel="1">
      <c r="A555" s="932"/>
      <c r="B555" s="1087"/>
      <c r="C555" s="1096"/>
      <c r="D555" s="1092"/>
      <c r="E555" s="1092"/>
      <c r="F555" s="1094"/>
      <c r="G555" s="103"/>
      <c r="H555" s="101"/>
      <c r="I555" s="1092"/>
      <c r="J555" s="1085"/>
      <c r="K555" s="1085"/>
      <c r="L555" s="932"/>
      <c r="M555" s="932"/>
    </row>
    <row r="556" spans="1:13" s="106" customFormat="1" ht="15.75" hidden="1" customHeight="1" outlineLevel="1">
      <c r="A556" s="932"/>
      <c r="B556" s="1086">
        <v>182</v>
      </c>
      <c r="C556" s="1095"/>
      <c r="D556" s="1091"/>
      <c r="E556" s="1091" t="s">
        <v>20</v>
      </c>
      <c r="F556" s="1093" t="str">
        <f>VLOOKUP(E556,$N$13:$O$17,2,0)</f>
        <v>-</v>
      </c>
      <c r="G556" s="95"/>
      <c r="H556" s="93"/>
      <c r="I556" s="1091"/>
      <c r="J556" s="1083"/>
      <c r="K556" s="1083"/>
      <c r="L556" s="932"/>
      <c r="M556" s="932"/>
    </row>
    <row r="557" spans="1:13" s="106" customFormat="1" ht="15.75" hidden="1" customHeight="1" outlineLevel="1">
      <c r="A557" s="932"/>
      <c r="B557" s="1086"/>
      <c r="C557" s="1095"/>
      <c r="D557" s="1091"/>
      <c r="E557" s="1091"/>
      <c r="F557" s="1093"/>
      <c r="G557" s="98"/>
      <c r="H557" s="93"/>
      <c r="I557" s="1091"/>
      <c r="J557" s="1084"/>
      <c r="K557" s="1084"/>
      <c r="L557" s="932"/>
      <c r="M557" s="932"/>
    </row>
    <row r="558" spans="1:13" s="106" customFormat="1" ht="15.75" hidden="1" customHeight="1" outlineLevel="1">
      <c r="A558" s="932"/>
      <c r="B558" s="1087"/>
      <c r="C558" s="1096"/>
      <c r="D558" s="1092"/>
      <c r="E558" s="1092"/>
      <c r="F558" s="1094"/>
      <c r="G558" s="103"/>
      <c r="H558" s="101"/>
      <c r="I558" s="1092"/>
      <c r="J558" s="1085"/>
      <c r="K558" s="1085"/>
      <c r="L558" s="932"/>
      <c r="M558" s="932"/>
    </row>
    <row r="559" spans="1:13" s="106" customFormat="1" ht="15.75" hidden="1" customHeight="1" outlineLevel="1">
      <c r="A559" s="932"/>
      <c r="B559" s="1086">
        <v>183</v>
      </c>
      <c r="C559" s="1095"/>
      <c r="D559" s="1091"/>
      <c r="E559" s="1091" t="s">
        <v>20</v>
      </c>
      <c r="F559" s="1093" t="str">
        <f>VLOOKUP(E559,$N$13:$O$17,2,0)</f>
        <v>-</v>
      </c>
      <c r="G559" s="95"/>
      <c r="H559" s="93"/>
      <c r="I559" s="1091"/>
      <c r="J559" s="1083"/>
      <c r="K559" s="1083"/>
      <c r="L559" s="932"/>
      <c r="M559" s="932"/>
    </row>
    <row r="560" spans="1:13" s="106" customFormat="1" ht="15.75" hidden="1" customHeight="1" outlineLevel="1">
      <c r="A560" s="932"/>
      <c r="B560" s="1086"/>
      <c r="C560" s="1095"/>
      <c r="D560" s="1091"/>
      <c r="E560" s="1091"/>
      <c r="F560" s="1093"/>
      <c r="G560" s="98"/>
      <c r="H560" s="93"/>
      <c r="I560" s="1091"/>
      <c r="J560" s="1084"/>
      <c r="K560" s="1084"/>
      <c r="L560" s="932"/>
      <c r="M560" s="932"/>
    </row>
    <row r="561" spans="1:13" s="106" customFormat="1" ht="15.75" hidden="1" customHeight="1" outlineLevel="1">
      <c r="A561" s="932"/>
      <c r="B561" s="1087"/>
      <c r="C561" s="1096"/>
      <c r="D561" s="1092"/>
      <c r="E561" s="1092"/>
      <c r="F561" s="1094"/>
      <c r="G561" s="103"/>
      <c r="H561" s="101"/>
      <c r="I561" s="1092"/>
      <c r="J561" s="1085"/>
      <c r="K561" s="1085"/>
      <c r="L561" s="932"/>
      <c r="M561" s="932"/>
    </row>
    <row r="562" spans="1:13" s="106" customFormat="1" ht="15.75" hidden="1" customHeight="1" outlineLevel="1">
      <c r="A562" s="932"/>
      <c r="B562" s="1086">
        <v>184</v>
      </c>
      <c r="C562" s="1095"/>
      <c r="D562" s="1091"/>
      <c r="E562" s="1091" t="s">
        <v>20</v>
      </c>
      <c r="F562" s="1093" t="str">
        <f>VLOOKUP(E562,$N$13:$O$17,2,0)</f>
        <v>-</v>
      </c>
      <c r="G562" s="95"/>
      <c r="H562" s="93"/>
      <c r="I562" s="1091"/>
      <c r="J562" s="1083"/>
      <c r="K562" s="1083"/>
      <c r="L562" s="932"/>
      <c r="M562" s="932"/>
    </row>
    <row r="563" spans="1:13" s="106" customFormat="1" ht="15.75" hidden="1" customHeight="1" outlineLevel="1">
      <c r="A563" s="932"/>
      <c r="B563" s="1086"/>
      <c r="C563" s="1095"/>
      <c r="D563" s="1091"/>
      <c r="E563" s="1091"/>
      <c r="F563" s="1093"/>
      <c r="G563" s="98"/>
      <c r="H563" s="93"/>
      <c r="I563" s="1091"/>
      <c r="J563" s="1084"/>
      <c r="K563" s="1084"/>
      <c r="L563" s="932"/>
      <c r="M563" s="932"/>
    </row>
    <row r="564" spans="1:13" s="106" customFormat="1" ht="15.75" hidden="1" customHeight="1" outlineLevel="1">
      <c r="A564" s="932"/>
      <c r="B564" s="1087"/>
      <c r="C564" s="1096"/>
      <c r="D564" s="1092"/>
      <c r="E564" s="1092"/>
      <c r="F564" s="1094"/>
      <c r="G564" s="103"/>
      <c r="H564" s="101"/>
      <c r="I564" s="1092"/>
      <c r="J564" s="1085"/>
      <c r="K564" s="1085"/>
      <c r="L564" s="932"/>
      <c r="M564" s="932"/>
    </row>
    <row r="565" spans="1:13" s="106" customFormat="1" ht="15.75" hidden="1" customHeight="1" outlineLevel="1">
      <c r="A565" s="932"/>
      <c r="B565" s="1086">
        <v>185</v>
      </c>
      <c r="C565" s="1095"/>
      <c r="D565" s="1091"/>
      <c r="E565" s="1091" t="s">
        <v>20</v>
      </c>
      <c r="F565" s="1093" t="str">
        <f>VLOOKUP(E565,$N$13:$O$17,2,0)</f>
        <v>-</v>
      </c>
      <c r="G565" s="95"/>
      <c r="H565" s="93"/>
      <c r="I565" s="1091"/>
      <c r="J565" s="1083"/>
      <c r="K565" s="1083"/>
      <c r="L565" s="932"/>
      <c r="M565" s="932"/>
    </row>
    <row r="566" spans="1:13" s="106" customFormat="1" ht="15.75" hidden="1" customHeight="1" outlineLevel="1">
      <c r="A566" s="932"/>
      <c r="B566" s="1086"/>
      <c r="C566" s="1095"/>
      <c r="D566" s="1091"/>
      <c r="E566" s="1091"/>
      <c r="F566" s="1093"/>
      <c r="G566" s="98"/>
      <c r="H566" s="93"/>
      <c r="I566" s="1091"/>
      <c r="J566" s="1084"/>
      <c r="K566" s="1084"/>
      <c r="L566" s="932"/>
      <c r="M566" s="932"/>
    </row>
    <row r="567" spans="1:13" s="106" customFormat="1" ht="15.75" hidden="1" customHeight="1" outlineLevel="1">
      <c r="A567" s="932"/>
      <c r="B567" s="1087"/>
      <c r="C567" s="1096"/>
      <c r="D567" s="1092"/>
      <c r="E567" s="1092"/>
      <c r="F567" s="1094"/>
      <c r="G567" s="103"/>
      <c r="H567" s="101"/>
      <c r="I567" s="1092"/>
      <c r="J567" s="1085"/>
      <c r="K567" s="1085"/>
      <c r="L567" s="932"/>
      <c r="M567" s="932"/>
    </row>
    <row r="568" spans="1:13" s="106" customFormat="1" ht="15.75" hidden="1" customHeight="1" outlineLevel="1">
      <c r="A568" s="932"/>
      <c r="B568" s="1086">
        <v>186</v>
      </c>
      <c r="C568" s="1095"/>
      <c r="D568" s="1091"/>
      <c r="E568" s="1091" t="s">
        <v>20</v>
      </c>
      <c r="F568" s="1093" t="str">
        <f>VLOOKUP(E568,$N$13:$O$17,2,0)</f>
        <v>-</v>
      </c>
      <c r="G568" s="95"/>
      <c r="H568" s="93"/>
      <c r="I568" s="1091"/>
      <c r="J568" s="1083"/>
      <c r="K568" s="1083"/>
      <c r="L568" s="932"/>
      <c r="M568" s="932"/>
    </row>
    <row r="569" spans="1:13" s="106" customFormat="1" ht="15.75" hidden="1" customHeight="1" outlineLevel="1">
      <c r="A569" s="932"/>
      <c r="B569" s="1086"/>
      <c r="C569" s="1095"/>
      <c r="D569" s="1091"/>
      <c r="E569" s="1091"/>
      <c r="F569" s="1093"/>
      <c r="G569" s="98"/>
      <c r="H569" s="93"/>
      <c r="I569" s="1091"/>
      <c r="J569" s="1084"/>
      <c r="K569" s="1084"/>
      <c r="L569" s="932"/>
      <c r="M569" s="932"/>
    </row>
    <row r="570" spans="1:13" s="106" customFormat="1" ht="15.75" hidden="1" customHeight="1" outlineLevel="1">
      <c r="A570" s="932"/>
      <c r="B570" s="1087"/>
      <c r="C570" s="1096"/>
      <c r="D570" s="1092"/>
      <c r="E570" s="1092"/>
      <c r="F570" s="1094"/>
      <c r="G570" s="103"/>
      <c r="H570" s="101"/>
      <c r="I570" s="1092"/>
      <c r="J570" s="1085"/>
      <c r="K570" s="1085"/>
      <c r="L570" s="932"/>
      <c r="M570" s="932"/>
    </row>
    <row r="571" spans="1:13" s="106" customFormat="1" ht="15.75" hidden="1" customHeight="1" outlineLevel="1">
      <c r="A571" s="932"/>
      <c r="B571" s="1086">
        <v>187</v>
      </c>
      <c r="C571" s="1095"/>
      <c r="D571" s="1091"/>
      <c r="E571" s="1091" t="s">
        <v>20</v>
      </c>
      <c r="F571" s="1093" t="str">
        <f>VLOOKUP(E571,$N$13:$O$17,2,0)</f>
        <v>-</v>
      </c>
      <c r="G571" s="95"/>
      <c r="H571" s="93"/>
      <c r="I571" s="1091"/>
      <c r="J571" s="1083"/>
      <c r="K571" s="1083"/>
      <c r="L571" s="932"/>
      <c r="M571" s="932"/>
    </row>
    <row r="572" spans="1:13" s="106" customFormat="1" ht="15.75" hidden="1" customHeight="1" outlineLevel="1">
      <c r="A572" s="932"/>
      <c r="B572" s="1086"/>
      <c r="C572" s="1095"/>
      <c r="D572" s="1091"/>
      <c r="E572" s="1091"/>
      <c r="F572" s="1093"/>
      <c r="G572" s="98"/>
      <c r="H572" s="93"/>
      <c r="I572" s="1091"/>
      <c r="J572" s="1084"/>
      <c r="K572" s="1084"/>
      <c r="L572" s="932"/>
      <c r="M572" s="932"/>
    </row>
    <row r="573" spans="1:13" s="106" customFormat="1" ht="15.75" hidden="1" customHeight="1" outlineLevel="1">
      <c r="A573" s="932"/>
      <c r="B573" s="1087"/>
      <c r="C573" s="1096"/>
      <c r="D573" s="1092"/>
      <c r="E573" s="1092"/>
      <c r="F573" s="1094"/>
      <c r="G573" s="103"/>
      <c r="H573" s="101"/>
      <c r="I573" s="1092"/>
      <c r="J573" s="1085"/>
      <c r="K573" s="1085"/>
      <c r="L573" s="932"/>
      <c r="M573" s="932"/>
    </row>
    <row r="574" spans="1:13" s="106" customFormat="1" ht="15.75" hidden="1" customHeight="1" outlineLevel="1">
      <c r="A574" s="932"/>
      <c r="B574" s="1086">
        <v>188</v>
      </c>
      <c r="C574" s="1095"/>
      <c r="D574" s="1091"/>
      <c r="E574" s="1091" t="s">
        <v>20</v>
      </c>
      <c r="F574" s="1093" t="str">
        <f>VLOOKUP(E574,$N$13:$O$17,2,0)</f>
        <v>-</v>
      </c>
      <c r="G574" s="95"/>
      <c r="H574" s="93"/>
      <c r="I574" s="1091"/>
      <c r="J574" s="1083"/>
      <c r="K574" s="1083"/>
      <c r="L574" s="932"/>
      <c r="M574" s="932"/>
    </row>
    <row r="575" spans="1:13" s="106" customFormat="1" ht="15.75" hidden="1" customHeight="1" outlineLevel="1">
      <c r="A575" s="932"/>
      <c r="B575" s="1086"/>
      <c r="C575" s="1095"/>
      <c r="D575" s="1091"/>
      <c r="E575" s="1091"/>
      <c r="F575" s="1093"/>
      <c r="G575" s="98"/>
      <c r="H575" s="93"/>
      <c r="I575" s="1091"/>
      <c r="J575" s="1084"/>
      <c r="K575" s="1084"/>
      <c r="L575" s="932"/>
      <c r="M575" s="932"/>
    </row>
    <row r="576" spans="1:13" s="106" customFormat="1" ht="15.75" hidden="1" customHeight="1" outlineLevel="1">
      <c r="A576" s="932"/>
      <c r="B576" s="1087"/>
      <c r="C576" s="1096"/>
      <c r="D576" s="1092"/>
      <c r="E576" s="1092"/>
      <c r="F576" s="1094"/>
      <c r="G576" s="103"/>
      <c r="H576" s="101"/>
      <c r="I576" s="1092"/>
      <c r="J576" s="1085"/>
      <c r="K576" s="1085"/>
      <c r="L576" s="932"/>
      <c r="M576" s="932"/>
    </row>
    <row r="577" spans="1:13" s="106" customFormat="1" ht="15.75" hidden="1" customHeight="1" outlineLevel="1">
      <c r="A577" s="932"/>
      <c r="B577" s="1086">
        <v>189</v>
      </c>
      <c r="C577" s="1095"/>
      <c r="D577" s="1091"/>
      <c r="E577" s="1091" t="s">
        <v>20</v>
      </c>
      <c r="F577" s="1093" t="str">
        <f>VLOOKUP(E577,$N$13:$O$17,2,0)</f>
        <v>-</v>
      </c>
      <c r="G577" s="95"/>
      <c r="H577" s="93"/>
      <c r="I577" s="1091"/>
      <c r="J577" s="1083"/>
      <c r="K577" s="1083"/>
      <c r="L577" s="932"/>
      <c r="M577" s="932"/>
    </row>
    <row r="578" spans="1:13" s="106" customFormat="1" ht="15.75" hidden="1" customHeight="1" outlineLevel="1">
      <c r="A578" s="932"/>
      <c r="B578" s="1086"/>
      <c r="C578" s="1095"/>
      <c r="D578" s="1091"/>
      <c r="E578" s="1091"/>
      <c r="F578" s="1093"/>
      <c r="G578" s="98"/>
      <c r="H578" s="93"/>
      <c r="I578" s="1091"/>
      <c r="J578" s="1084"/>
      <c r="K578" s="1084"/>
      <c r="L578" s="932"/>
      <c r="M578" s="932"/>
    </row>
    <row r="579" spans="1:13" s="106" customFormat="1" ht="15.75" hidden="1" customHeight="1" outlineLevel="1">
      <c r="A579" s="932"/>
      <c r="B579" s="1087"/>
      <c r="C579" s="1096"/>
      <c r="D579" s="1092"/>
      <c r="E579" s="1092"/>
      <c r="F579" s="1094"/>
      <c r="G579" s="103"/>
      <c r="H579" s="101"/>
      <c r="I579" s="1092"/>
      <c r="J579" s="1085"/>
      <c r="K579" s="1085"/>
      <c r="L579" s="932"/>
      <c r="M579" s="932"/>
    </row>
    <row r="580" spans="1:13" s="106" customFormat="1" ht="15.75" hidden="1" customHeight="1" outlineLevel="1">
      <c r="A580" s="932"/>
      <c r="B580" s="1086">
        <v>190</v>
      </c>
      <c r="C580" s="1095"/>
      <c r="D580" s="1091"/>
      <c r="E580" s="1091" t="s">
        <v>20</v>
      </c>
      <c r="F580" s="1093" t="str">
        <f>VLOOKUP(E580,$N$13:$O$17,2,0)</f>
        <v>-</v>
      </c>
      <c r="G580" s="95"/>
      <c r="H580" s="93"/>
      <c r="I580" s="1091"/>
      <c r="J580" s="1083"/>
      <c r="K580" s="1083"/>
      <c r="L580" s="932"/>
      <c r="M580" s="932"/>
    </row>
    <row r="581" spans="1:13" s="106" customFormat="1" ht="15.75" hidden="1" customHeight="1" outlineLevel="1">
      <c r="A581" s="932"/>
      <c r="B581" s="1086"/>
      <c r="C581" s="1095"/>
      <c r="D581" s="1091"/>
      <c r="E581" s="1091"/>
      <c r="F581" s="1093"/>
      <c r="G581" s="98"/>
      <c r="H581" s="93"/>
      <c r="I581" s="1091"/>
      <c r="J581" s="1084"/>
      <c r="K581" s="1084"/>
      <c r="L581" s="932"/>
      <c r="M581" s="932"/>
    </row>
    <row r="582" spans="1:13" s="106" customFormat="1" ht="15.75" hidden="1" customHeight="1" outlineLevel="1">
      <c r="A582" s="932"/>
      <c r="B582" s="1087"/>
      <c r="C582" s="1096"/>
      <c r="D582" s="1092"/>
      <c r="E582" s="1092"/>
      <c r="F582" s="1094"/>
      <c r="G582" s="103"/>
      <c r="H582" s="101"/>
      <c r="I582" s="1092"/>
      <c r="J582" s="1085"/>
      <c r="K582" s="1085"/>
      <c r="L582" s="932"/>
      <c r="M582" s="932"/>
    </row>
    <row r="583" spans="1:13" s="106" customFormat="1" ht="15.75" hidden="1" customHeight="1" outlineLevel="1">
      <c r="A583" s="932"/>
      <c r="B583" s="1086">
        <v>191</v>
      </c>
      <c r="C583" s="1095"/>
      <c r="D583" s="1091"/>
      <c r="E583" s="1091" t="s">
        <v>20</v>
      </c>
      <c r="F583" s="1093" t="str">
        <f>VLOOKUP(E583,$N$13:$O$17,2,0)</f>
        <v>-</v>
      </c>
      <c r="G583" s="95"/>
      <c r="H583" s="93"/>
      <c r="I583" s="1091"/>
      <c r="J583" s="1083"/>
      <c r="K583" s="1083"/>
      <c r="L583" s="932"/>
      <c r="M583" s="932"/>
    </row>
    <row r="584" spans="1:13" s="106" customFormat="1" ht="15.75" hidden="1" customHeight="1" outlineLevel="1">
      <c r="A584" s="932"/>
      <c r="B584" s="1086"/>
      <c r="C584" s="1095"/>
      <c r="D584" s="1091"/>
      <c r="E584" s="1091"/>
      <c r="F584" s="1093"/>
      <c r="G584" s="98"/>
      <c r="H584" s="93"/>
      <c r="I584" s="1091"/>
      <c r="J584" s="1084"/>
      <c r="K584" s="1084"/>
      <c r="L584" s="932"/>
      <c r="M584" s="932"/>
    </row>
    <row r="585" spans="1:13" s="106" customFormat="1" ht="15.75" hidden="1" customHeight="1" outlineLevel="1">
      <c r="A585" s="932"/>
      <c r="B585" s="1087"/>
      <c r="C585" s="1096"/>
      <c r="D585" s="1092"/>
      <c r="E585" s="1092"/>
      <c r="F585" s="1094"/>
      <c r="G585" s="103"/>
      <c r="H585" s="101"/>
      <c r="I585" s="1092"/>
      <c r="J585" s="1085"/>
      <c r="K585" s="1085"/>
      <c r="L585" s="932"/>
      <c r="M585" s="932"/>
    </row>
    <row r="586" spans="1:13" s="106" customFormat="1" ht="15.75" hidden="1" customHeight="1" outlineLevel="1">
      <c r="A586" s="932"/>
      <c r="B586" s="1086">
        <v>192</v>
      </c>
      <c r="C586" s="1095"/>
      <c r="D586" s="1091"/>
      <c r="E586" s="1091" t="s">
        <v>20</v>
      </c>
      <c r="F586" s="1093" t="str">
        <f>VLOOKUP(E586,$N$13:$O$17,2,0)</f>
        <v>-</v>
      </c>
      <c r="G586" s="95"/>
      <c r="H586" s="93"/>
      <c r="I586" s="1091"/>
      <c r="J586" s="1083"/>
      <c r="K586" s="1083"/>
      <c r="L586" s="932"/>
      <c r="M586" s="932"/>
    </row>
    <row r="587" spans="1:13" s="106" customFormat="1" ht="15.75" hidden="1" customHeight="1" outlineLevel="1">
      <c r="A587" s="932"/>
      <c r="B587" s="1086"/>
      <c r="C587" s="1095"/>
      <c r="D587" s="1091"/>
      <c r="E587" s="1091"/>
      <c r="F587" s="1093"/>
      <c r="G587" s="98"/>
      <c r="H587" s="93"/>
      <c r="I587" s="1091"/>
      <c r="J587" s="1084"/>
      <c r="K587" s="1084"/>
      <c r="L587" s="932"/>
      <c r="M587" s="932"/>
    </row>
    <row r="588" spans="1:13" s="106" customFormat="1" ht="15.75" hidden="1" customHeight="1" outlineLevel="1">
      <c r="A588" s="932"/>
      <c r="B588" s="1087"/>
      <c r="C588" s="1096"/>
      <c r="D588" s="1092"/>
      <c r="E588" s="1092"/>
      <c r="F588" s="1094"/>
      <c r="G588" s="103"/>
      <c r="H588" s="101"/>
      <c r="I588" s="1092"/>
      <c r="J588" s="1085"/>
      <c r="K588" s="1085"/>
      <c r="L588" s="932"/>
      <c r="M588" s="932"/>
    </row>
    <row r="589" spans="1:13" s="106" customFormat="1" ht="15.75" hidden="1" customHeight="1" outlineLevel="1">
      <c r="A589" s="932"/>
      <c r="B589" s="1086">
        <v>193</v>
      </c>
      <c r="C589" s="1095"/>
      <c r="D589" s="1091"/>
      <c r="E589" s="1091" t="s">
        <v>20</v>
      </c>
      <c r="F589" s="1093" t="str">
        <f>VLOOKUP(E589,$N$13:$O$17,2,0)</f>
        <v>-</v>
      </c>
      <c r="G589" s="95"/>
      <c r="H589" s="93"/>
      <c r="I589" s="1091"/>
      <c r="J589" s="1083"/>
      <c r="K589" s="1083"/>
      <c r="L589" s="932"/>
      <c r="M589" s="932"/>
    </row>
    <row r="590" spans="1:13" s="106" customFormat="1" ht="15.75" hidden="1" customHeight="1" outlineLevel="1">
      <c r="A590" s="932"/>
      <c r="B590" s="1086"/>
      <c r="C590" s="1095"/>
      <c r="D590" s="1091"/>
      <c r="E590" s="1091"/>
      <c r="F590" s="1093"/>
      <c r="G590" s="98"/>
      <c r="H590" s="93"/>
      <c r="I590" s="1091"/>
      <c r="J590" s="1084"/>
      <c r="K590" s="1084"/>
      <c r="L590" s="932"/>
      <c r="M590" s="932"/>
    </row>
    <row r="591" spans="1:13" s="106" customFormat="1" ht="15.75" hidden="1" customHeight="1" outlineLevel="1">
      <c r="A591" s="932"/>
      <c r="B591" s="1087"/>
      <c r="C591" s="1096"/>
      <c r="D591" s="1092"/>
      <c r="E591" s="1092"/>
      <c r="F591" s="1094"/>
      <c r="G591" s="103"/>
      <c r="H591" s="101"/>
      <c r="I591" s="1092"/>
      <c r="J591" s="1085"/>
      <c r="K591" s="1085"/>
      <c r="L591" s="932"/>
      <c r="M591" s="932"/>
    </row>
    <row r="592" spans="1:13" s="106" customFormat="1" ht="15.75" hidden="1" customHeight="1" outlineLevel="1">
      <c r="A592" s="932"/>
      <c r="B592" s="1086">
        <v>194</v>
      </c>
      <c r="C592" s="1095"/>
      <c r="D592" s="1091"/>
      <c r="E592" s="1091" t="s">
        <v>20</v>
      </c>
      <c r="F592" s="1093" t="str">
        <f>VLOOKUP(E592,$N$13:$O$17,2,0)</f>
        <v>-</v>
      </c>
      <c r="G592" s="95"/>
      <c r="H592" s="93"/>
      <c r="I592" s="1091"/>
      <c r="J592" s="1083"/>
      <c r="K592" s="1083"/>
      <c r="L592" s="932"/>
      <c r="M592" s="932"/>
    </row>
    <row r="593" spans="1:13" s="106" customFormat="1" ht="15.75" hidden="1" customHeight="1" outlineLevel="1">
      <c r="A593" s="932"/>
      <c r="B593" s="1086"/>
      <c r="C593" s="1095"/>
      <c r="D593" s="1091"/>
      <c r="E593" s="1091"/>
      <c r="F593" s="1093"/>
      <c r="G593" s="98"/>
      <c r="H593" s="93"/>
      <c r="I593" s="1091"/>
      <c r="J593" s="1084"/>
      <c r="K593" s="1084"/>
      <c r="L593" s="932"/>
      <c r="M593" s="932"/>
    </row>
    <row r="594" spans="1:13" s="106" customFormat="1" ht="15.75" hidden="1" customHeight="1" outlineLevel="1">
      <c r="A594" s="932"/>
      <c r="B594" s="1087"/>
      <c r="C594" s="1096"/>
      <c r="D594" s="1092"/>
      <c r="E594" s="1092"/>
      <c r="F594" s="1094"/>
      <c r="G594" s="103"/>
      <c r="H594" s="101"/>
      <c r="I594" s="1092"/>
      <c r="J594" s="1085"/>
      <c r="K594" s="1085"/>
      <c r="L594" s="932"/>
      <c r="M594" s="932"/>
    </row>
    <row r="595" spans="1:13" s="106" customFormat="1" ht="15.75" hidden="1" customHeight="1" outlineLevel="1">
      <c r="A595" s="932"/>
      <c r="B595" s="1086">
        <v>195</v>
      </c>
      <c r="C595" s="1095"/>
      <c r="D595" s="1091"/>
      <c r="E595" s="1091" t="s">
        <v>20</v>
      </c>
      <c r="F595" s="1093" t="str">
        <f>VLOOKUP(E595,$N$13:$O$17,2,0)</f>
        <v>-</v>
      </c>
      <c r="G595" s="95"/>
      <c r="H595" s="93"/>
      <c r="I595" s="1091"/>
      <c r="J595" s="1083"/>
      <c r="K595" s="1083"/>
      <c r="L595" s="932"/>
      <c r="M595" s="932"/>
    </row>
    <row r="596" spans="1:13" s="106" customFormat="1" ht="15.75" hidden="1" customHeight="1" outlineLevel="1">
      <c r="A596" s="932"/>
      <c r="B596" s="1086"/>
      <c r="C596" s="1095"/>
      <c r="D596" s="1091"/>
      <c r="E596" s="1091"/>
      <c r="F596" s="1093"/>
      <c r="G596" s="98"/>
      <c r="H596" s="93"/>
      <c r="I596" s="1091"/>
      <c r="J596" s="1084"/>
      <c r="K596" s="1084"/>
      <c r="L596" s="932"/>
      <c r="M596" s="932"/>
    </row>
    <row r="597" spans="1:13" s="106" customFormat="1" ht="15.75" hidden="1" customHeight="1" outlineLevel="1">
      <c r="A597" s="932"/>
      <c r="B597" s="1087"/>
      <c r="C597" s="1096"/>
      <c r="D597" s="1092"/>
      <c r="E597" s="1092"/>
      <c r="F597" s="1094"/>
      <c r="G597" s="103"/>
      <c r="H597" s="101"/>
      <c r="I597" s="1092"/>
      <c r="J597" s="1085"/>
      <c r="K597" s="1085"/>
      <c r="L597" s="932"/>
      <c r="M597" s="932"/>
    </row>
    <row r="598" spans="1:13" s="106" customFormat="1" ht="15.75" hidden="1" customHeight="1" outlineLevel="1">
      <c r="A598" s="932"/>
      <c r="B598" s="1086">
        <v>196</v>
      </c>
      <c r="C598" s="1095"/>
      <c r="D598" s="1091"/>
      <c r="E598" s="1091" t="s">
        <v>20</v>
      </c>
      <c r="F598" s="1093" t="str">
        <f>VLOOKUP(E598,$N$13:$O$17,2,0)</f>
        <v>-</v>
      </c>
      <c r="G598" s="95"/>
      <c r="H598" s="93"/>
      <c r="I598" s="1091"/>
      <c r="J598" s="1083"/>
      <c r="K598" s="1083"/>
      <c r="L598" s="932"/>
      <c r="M598" s="932"/>
    </row>
    <row r="599" spans="1:13" s="106" customFormat="1" ht="15.75" hidden="1" customHeight="1" outlineLevel="1">
      <c r="A599" s="932"/>
      <c r="B599" s="1086"/>
      <c r="C599" s="1095"/>
      <c r="D599" s="1091"/>
      <c r="E599" s="1091"/>
      <c r="F599" s="1093"/>
      <c r="G599" s="98"/>
      <c r="H599" s="93"/>
      <c r="I599" s="1091"/>
      <c r="J599" s="1084"/>
      <c r="K599" s="1084"/>
      <c r="L599" s="932"/>
      <c r="M599" s="932"/>
    </row>
    <row r="600" spans="1:13" s="106" customFormat="1" ht="15.75" hidden="1" customHeight="1" outlineLevel="1">
      <c r="A600" s="932"/>
      <c r="B600" s="1087"/>
      <c r="C600" s="1096"/>
      <c r="D600" s="1092"/>
      <c r="E600" s="1092"/>
      <c r="F600" s="1094"/>
      <c r="G600" s="103"/>
      <c r="H600" s="101"/>
      <c r="I600" s="1092"/>
      <c r="J600" s="1085"/>
      <c r="K600" s="1085"/>
      <c r="L600" s="932"/>
      <c r="M600" s="932"/>
    </row>
    <row r="601" spans="1:13" s="106" customFormat="1" ht="15.75" hidden="1" customHeight="1" outlineLevel="1">
      <c r="A601" s="932"/>
      <c r="B601" s="1086">
        <v>197</v>
      </c>
      <c r="C601" s="1095"/>
      <c r="D601" s="1091"/>
      <c r="E601" s="1091" t="s">
        <v>20</v>
      </c>
      <c r="F601" s="1093" t="str">
        <f>VLOOKUP(E601,$N$13:$O$17,2,0)</f>
        <v>-</v>
      </c>
      <c r="G601" s="95"/>
      <c r="H601" s="93"/>
      <c r="I601" s="1091"/>
      <c r="J601" s="1083"/>
      <c r="K601" s="1083"/>
      <c r="L601" s="932"/>
      <c r="M601" s="932"/>
    </row>
    <row r="602" spans="1:13" s="106" customFormat="1" ht="15.75" hidden="1" customHeight="1" outlineLevel="1">
      <c r="A602" s="932"/>
      <c r="B602" s="1086"/>
      <c r="C602" s="1095"/>
      <c r="D602" s="1091"/>
      <c r="E602" s="1091"/>
      <c r="F602" s="1093"/>
      <c r="G602" s="98"/>
      <c r="H602" s="93"/>
      <c r="I602" s="1091"/>
      <c r="J602" s="1084"/>
      <c r="K602" s="1084"/>
      <c r="L602" s="932"/>
      <c r="M602" s="932"/>
    </row>
    <row r="603" spans="1:13" s="106" customFormat="1" ht="15.75" hidden="1" customHeight="1" outlineLevel="1">
      <c r="A603" s="932"/>
      <c r="B603" s="1087"/>
      <c r="C603" s="1096"/>
      <c r="D603" s="1092"/>
      <c r="E603" s="1092"/>
      <c r="F603" s="1094"/>
      <c r="G603" s="103"/>
      <c r="H603" s="101"/>
      <c r="I603" s="1092"/>
      <c r="J603" s="1085"/>
      <c r="K603" s="1085"/>
      <c r="L603" s="932"/>
      <c r="M603" s="932"/>
    </row>
    <row r="604" spans="1:13" s="106" customFormat="1" ht="15.75" hidden="1" customHeight="1" outlineLevel="1">
      <c r="A604" s="932"/>
      <c r="B604" s="1086">
        <v>198</v>
      </c>
      <c r="C604" s="1095"/>
      <c r="D604" s="1091"/>
      <c r="E604" s="1091" t="s">
        <v>20</v>
      </c>
      <c r="F604" s="1093" t="str">
        <f>VLOOKUP(E604,$N$13:$O$17,2,0)</f>
        <v>-</v>
      </c>
      <c r="G604" s="95"/>
      <c r="H604" s="93"/>
      <c r="I604" s="1091"/>
      <c r="J604" s="1083"/>
      <c r="K604" s="1083"/>
      <c r="L604" s="932"/>
      <c r="M604" s="932"/>
    </row>
    <row r="605" spans="1:13" s="106" customFormat="1" ht="15.75" hidden="1" customHeight="1" outlineLevel="1">
      <c r="A605" s="932"/>
      <c r="B605" s="1086"/>
      <c r="C605" s="1095"/>
      <c r="D605" s="1091"/>
      <c r="E605" s="1091"/>
      <c r="F605" s="1093"/>
      <c r="G605" s="98"/>
      <c r="H605" s="93"/>
      <c r="I605" s="1091"/>
      <c r="J605" s="1084"/>
      <c r="K605" s="1084"/>
      <c r="L605" s="932"/>
      <c r="M605" s="932"/>
    </row>
    <row r="606" spans="1:13" s="106" customFormat="1" ht="15.75" hidden="1" customHeight="1" outlineLevel="1">
      <c r="A606" s="932"/>
      <c r="B606" s="1087"/>
      <c r="C606" s="1096"/>
      <c r="D606" s="1092"/>
      <c r="E606" s="1092"/>
      <c r="F606" s="1094"/>
      <c r="G606" s="103"/>
      <c r="H606" s="101"/>
      <c r="I606" s="1092"/>
      <c r="J606" s="1085"/>
      <c r="K606" s="1085"/>
      <c r="L606" s="932"/>
      <c r="M606" s="932"/>
    </row>
    <row r="607" spans="1:13" s="106" customFormat="1" ht="15.75" hidden="1" customHeight="1" outlineLevel="1">
      <c r="A607" s="932"/>
      <c r="B607" s="1086">
        <v>199</v>
      </c>
      <c r="C607" s="1095"/>
      <c r="D607" s="1091"/>
      <c r="E607" s="1091" t="s">
        <v>20</v>
      </c>
      <c r="F607" s="1093" t="str">
        <f>VLOOKUP(E607,$N$13:$O$17,2,0)</f>
        <v>-</v>
      </c>
      <c r="G607" s="95"/>
      <c r="H607" s="93"/>
      <c r="I607" s="1091"/>
      <c r="J607" s="1083"/>
      <c r="K607" s="1083"/>
      <c r="L607" s="932"/>
      <c r="M607" s="932"/>
    </row>
    <row r="608" spans="1:13" s="106" customFormat="1" ht="15.75" hidden="1" customHeight="1" outlineLevel="1">
      <c r="A608" s="932"/>
      <c r="B608" s="1086"/>
      <c r="C608" s="1095"/>
      <c r="D608" s="1091"/>
      <c r="E608" s="1091"/>
      <c r="F608" s="1093"/>
      <c r="G608" s="98"/>
      <c r="H608" s="93"/>
      <c r="I608" s="1091"/>
      <c r="J608" s="1084"/>
      <c r="K608" s="1084"/>
      <c r="L608" s="932"/>
      <c r="M608" s="932"/>
    </row>
    <row r="609" spans="1:13" s="106" customFormat="1" ht="15.75" hidden="1" customHeight="1" outlineLevel="1">
      <c r="A609" s="932"/>
      <c r="B609" s="1087"/>
      <c r="C609" s="1096"/>
      <c r="D609" s="1092"/>
      <c r="E609" s="1092"/>
      <c r="F609" s="1094"/>
      <c r="G609" s="103"/>
      <c r="H609" s="101"/>
      <c r="I609" s="1092"/>
      <c r="J609" s="1085"/>
      <c r="K609" s="1085"/>
      <c r="L609" s="932"/>
      <c r="M609" s="932"/>
    </row>
    <row r="610" spans="1:13"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c r="M610" s="932"/>
    </row>
    <row r="611" spans="1:13" s="106" customFormat="1" ht="15.75" hidden="1" customHeight="1" outlineLevel="1">
      <c r="A611" s="932"/>
      <c r="B611" s="1086"/>
      <c r="C611" s="1089"/>
      <c r="D611" s="1091"/>
      <c r="E611" s="1091"/>
      <c r="F611" s="1093"/>
      <c r="G611" s="98"/>
      <c r="H611" s="93"/>
      <c r="I611" s="1091"/>
      <c r="J611" s="1084"/>
      <c r="K611" s="1084"/>
      <c r="L611" s="932"/>
      <c r="M611" s="932"/>
    </row>
    <row r="612" spans="1:13" s="106" customFormat="1" ht="15.75" hidden="1" customHeight="1" outlineLevel="1" thickBot="1">
      <c r="A612" s="932"/>
      <c r="B612" s="1087"/>
      <c r="C612" s="1090"/>
      <c r="D612" s="1092"/>
      <c r="E612" s="1092"/>
      <c r="F612" s="1094"/>
      <c r="G612" s="103"/>
      <c r="H612" s="101"/>
      <c r="I612" s="1092"/>
      <c r="J612" s="1085"/>
      <c r="K612" s="1085"/>
      <c r="L612" s="932"/>
      <c r="M612" s="932"/>
    </row>
    <row r="613" spans="1:13" s="106" customFormat="1" ht="15.6"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097"/>
      <c r="G621" s="1098"/>
      <c r="H621" s="1098"/>
      <c r="I621" s="1098"/>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s>
  <phoneticPr fontId="2" type="noConversion"/>
  <dataValidations count="1">
    <dataValidation type="list" allowBlank="1" showInputMessage="1" showErrorMessage="1" sqref="E13:E32 E34:E612" xr:uid="{00000000-0002-0000-0B00-000000000000}">
      <formula1>$N$13:$N$17</formula1>
    </dataValidation>
  </dataValidations>
  <hyperlinks>
    <hyperlink ref="C1" location="Spis!B36" display="&gt;&gt; powrót do spisu treści" xr:uid="{00000000-0004-0000-0B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4" width="15.81640625" style="81" hidden="1" customWidth="1"/>
    <col min="15" max="15" width="7.363281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c r="M1" s="896"/>
    </row>
    <row r="2" spans="1:19" s="112" customFormat="1" ht="24.9" customHeight="1">
      <c r="A2" s="920"/>
      <c r="B2" s="948" t="s">
        <v>19</v>
      </c>
      <c r="C2" s="948"/>
      <c r="D2" s="920"/>
      <c r="E2" s="920"/>
      <c r="F2" s="920"/>
      <c r="G2" s="920"/>
      <c r="H2" s="907"/>
      <c r="I2" s="875"/>
      <c r="J2" s="876"/>
      <c r="K2" s="869"/>
      <c r="L2" s="869"/>
      <c r="M2" s="869"/>
    </row>
    <row r="3" spans="1:19" ht="15" customHeight="1">
      <c r="A3" s="914"/>
      <c r="B3" s="930" t="s">
        <v>14</v>
      </c>
      <c r="C3" s="1081" t="s">
        <v>21</v>
      </c>
      <c r="D3" s="1082"/>
      <c r="E3" s="1082"/>
      <c r="F3" s="1082"/>
      <c r="G3" s="1082"/>
      <c r="H3" s="1046"/>
      <c r="I3" s="921"/>
      <c r="J3" s="922"/>
      <c r="K3" s="922"/>
      <c r="L3" s="896"/>
      <c r="M3" s="896"/>
    </row>
    <row r="4" spans="1:19" ht="15" customHeight="1">
      <c r="A4" s="914"/>
      <c r="B4" s="931" t="s">
        <v>29</v>
      </c>
      <c r="C4" s="1081" t="s">
        <v>181</v>
      </c>
      <c r="D4" s="1082"/>
      <c r="E4" s="1082"/>
      <c r="F4" s="1082"/>
      <c r="G4" s="1082"/>
      <c r="H4" s="1035"/>
      <c r="I4" s="919"/>
      <c r="J4" s="896"/>
      <c r="K4" s="896"/>
      <c r="L4" s="896"/>
      <c r="M4" s="896"/>
    </row>
    <row r="5" spans="1:19" ht="15" customHeight="1">
      <c r="A5" s="896"/>
      <c r="B5" s="913" t="s">
        <v>30</v>
      </c>
      <c r="C5" s="1044" t="s">
        <v>107</v>
      </c>
      <c r="D5" s="1044"/>
      <c r="E5" s="1044"/>
      <c r="F5" s="1044"/>
      <c r="G5" s="1044"/>
      <c r="H5" s="1035"/>
      <c r="I5" s="919"/>
      <c r="J5" s="896"/>
      <c r="K5" s="896"/>
      <c r="L5" s="896"/>
      <c r="M5" s="896"/>
    </row>
    <row r="6" spans="1:19" ht="50.1" customHeight="1">
      <c r="A6" s="896"/>
      <c r="B6" s="913" t="s">
        <v>37</v>
      </c>
      <c r="C6" s="1044" t="s">
        <v>179</v>
      </c>
      <c r="D6" s="1048"/>
      <c r="E6" s="1048"/>
      <c r="F6" s="1048"/>
      <c r="G6" s="1048"/>
      <c r="H6" s="1035"/>
      <c r="I6" s="919"/>
      <c r="J6" s="896"/>
      <c r="K6" s="896"/>
      <c r="L6" s="896"/>
      <c r="M6" s="896"/>
    </row>
    <row r="7" spans="1:19" s="82" customFormat="1" ht="30" customHeight="1" thickBot="1">
      <c r="A7" s="923"/>
      <c r="B7" s="924" t="s">
        <v>254</v>
      </c>
      <c r="C7" s="923"/>
      <c r="D7" s="925"/>
      <c r="E7" s="923"/>
      <c r="F7" s="926"/>
      <c r="G7" s="927"/>
      <c r="H7" s="928"/>
      <c r="I7" s="928"/>
      <c r="J7" s="929"/>
      <c r="K7" s="929"/>
      <c r="L7" s="929"/>
      <c r="M7" s="929"/>
    </row>
    <row r="8" spans="1:19" ht="20.100000000000001" customHeight="1" thickBot="1">
      <c r="A8" s="896"/>
      <c r="B8" s="1104" t="str">
        <f>'Tab.G1.1-4'!$B$8</f>
        <v>LP</v>
      </c>
      <c r="C8" s="1077" t="str">
        <f>Tab.G6!$C$9</f>
        <v>Nazwa projektu inwestycyjnego</v>
      </c>
      <c r="D8" s="1078" t="str">
        <f>Tab.G6!$D$9</f>
        <v>Lokalizacja projektu inwestycyjnego</v>
      </c>
      <c r="E8" s="1077" t="str">
        <f>Tab.G6!$E$9</f>
        <v>Cel realizacji projektu</v>
      </c>
      <c r="F8" s="1077" t="str">
        <f>Tab.G6!$F$9</f>
        <v>Spodziewane efekty, wynikające z realizacji projektu</v>
      </c>
      <c r="G8" s="1078" t="str">
        <f>Tab.G6!$G$9</f>
        <v>Wartość dla poszczególnych spodziewanych efektów</v>
      </c>
      <c r="H8" s="1078" t="str">
        <f>"Rodzaj i zakres powiązania projektu z główną działalnością"</f>
        <v>Rodzaj i zakres powiązania projektu z główną działalnością</v>
      </c>
      <c r="I8" s="1077" t="str">
        <f>Tab.G6!$H$9</f>
        <v>Zakres prac</v>
      </c>
      <c r="J8" s="632" t="str">
        <f>'Tab.G1.1-4'!$E$8</f>
        <v>Wykonanie</v>
      </c>
      <c r="K8" s="1075" t="str">
        <f>Tab.G6!$J$9</f>
        <v>UWAGI</v>
      </c>
      <c r="L8" s="894"/>
      <c r="M8" s="894"/>
      <c r="N8" s="79"/>
      <c r="O8" s="79"/>
      <c r="P8" s="79"/>
      <c r="Q8" s="79"/>
      <c r="R8" s="79"/>
      <c r="S8" s="79"/>
    </row>
    <row r="9" spans="1:19" ht="20.100000000000001" customHeight="1" thickBot="1">
      <c r="A9" s="896"/>
      <c r="B9" s="1105"/>
      <c r="C9" s="1077"/>
      <c r="D9" s="1102"/>
      <c r="E9" s="1077"/>
      <c r="F9" s="1077"/>
      <c r="G9" s="1080"/>
      <c r="H9" s="1080"/>
      <c r="I9" s="1077"/>
      <c r="J9" s="633">
        <f>Rok_ZPR</f>
        <v>2020</v>
      </c>
      <c r="K9" s="1076"/>
      <c r="L9" s="876"/>
      <c r="M9" s="876"/>
      <c r="N9" s="79"/>
      <c r="O9" s="79"/>
      <c r="P9" s="79"/>
      <c r="Q9" s="79"/>
      <c r="R9" s="79"/>
      <c r="S9" s="79"/>
    </row>
    <row r="10" spans="1:19" ht="20.100000000000001" customHeight="1">
      <c r="A10" s="896"/>
      <c r="B10" s="1106"/>
      <c r="C10" s="1078"/>
      <c r="D10" s="1102"/>
      <c r="E10" s="1078"/>
      <c r="F10" s="1078"/>
      <c r="G10" s="1080"/>
      <c r="H10" s="1080"/>
      <c r="I10" s="1078"/>
      <c r="J10" s="633" t="str">
        <f>'Tab.G1.1-4'!$D$11</f>
        <v>[tys. zł]</v>
      </c>
      <c r="K10" s="1076"/>
      <c r="L10" s="907"/>
      <c r="M10" s="907"/>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5.6" thickBot="1">
      <c r="A12" s="916"/>
      <c r="B12" s="90"/>
      <c r="C12" s="113"/>
      <c r="D12" s="91"/>
      <c r="E12" s="90"/>
      <c r="F12" s="90"/>
      <c r="G12" s="91"/>
      <c r="H12" s="91"/>
      <c r="I12" s="91"/>
      <c r="J12" s="92"/>
      <c r="K12" s="92"/>
      <c r="L12" s="908"/>
      <c r="M12" s="908"/>
    </row>
    <row r="13" spans="1:19" s="85" customFormat="1" ht="12.75" customHeight="1">
      <c r="A13" s="916"/>
      <c r="B13" s="1086">
        <v>1</v>
      </c>
      <c r="C13" s="1109"/>
      <c r="D13" s="1091"/>
      <c r="E13" s="1091" t="s">
        <v>20</v>
      </c>
      <c r="F13" s="1093" t="str">
        <f>VLOOKUP(E13,$N$13:$O$17,2,0)</f>
        <v>-</v>
      </c>
      <c r="G13" s="95"/>
      <c r="H13" s="1091"/>
      <c r="I13" s="1091"/>
      <c r="J13" s="1084"/>
      <c r="K13" s="1084"/>
      <c r="L13" s="908"/>
      <c r="M13" s="908"/>
      <c r="N13" s="96" t="s">
        <v>22</v>
      </c>
      <c r="O13" s="97" t="s">
        <v>23</v>
      </c>
    </row>
    <row r="14" spans="1:19" s="85" customFormat="1" ht="12.75" customHeight="1">
      <c r="A14" s="916"/>
      <c r="B14" s="1086"/>
      <c r="C14" s="1095"/>
      <c r="D14" s="1091"/>
      <c r="E14" s="1091"/>
      <c r="F14" s="1093"/>
      <c r="G14" s="98"/>
      <c r="H14" s="1091"/>
      <c r="I14" s="1091"/>
      <c r="J14" s="1084"/>
      <c r="K14" s="1084"/>
      <c r="L14" s="908"/>
      <c r="M14" s="908"/>
      <c r="N14" s="99" t="s">
        <v>24</v>
      </c>
      <c r="O14" s="100" t="s">
        <v>62</v>
      </c>
    </row>
    <row r="15" spans="1:19" s="85" customFormat="1" ht="12.75" customHeight="1">
      <c r="A15" s="916"/>
      <c r="B15" s="1087"/>
      <c r="C15" s="1096"/>
      <c r="D15" s="1092"/>
      <c r="E15" s="1092"/>
      <c r="F15" s="1094"/>
      <c r="G15" s="103"/>
      <c r="H15" s="1092"/>
      <c r="I15" s="1092"/>
      <c r="J15" s="1085"/>
      <c r="K15" s="1085"/>
      <c r="L15" s="908"/>
      <c r="M15" s="908"/>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908"/>
      <c r="N16" s="99" t="s">
        <v>27</v>
      </c>
      <c r="O16" s="100" t="s">
        <v>28</v>
      </c>
    </row>
    <row r="17" spans="1:15" s="85" customFormat="1" ht="12.75" customHeight="1" thickBot="1">
      <c r="A17" s="916"/>
      <c r="B17" s="1086"/>
      <c r="C17" s="1095"/>
      <c r="D17" s="1091"/>
      <c r="E17" s="1091"/>
      <c r="F17" s="1093"/>
      <c r="G17" s="98"/>
      <c r="H17" s="1091"/>
      <c r="I17" s="1091"/>
      <c r="J17" s="1084"/>
      <c r="K17" s="1084"/>
      <c r="L17" s="908"/>
      <c r="M17" s="908"/>
      <c r="N17" s="104" t="s">
        <v>20</v>
      </c>
      <c r="O17" s="105" t="s">
        <v>20</v>
      </c>
    </row>
    <row r="18" spans="1:15" s="85" customFormat="1" ht="12.75" customHeight="1">
      <c r="A18" s="916"/>
      <c r="B18" s="1087"/>
      <c r="C18" s="1096"/>
      <c r="D18" s="1092"/>
      <c r="E18" s="1092"/>
      <c r="F18" s="1094"/>
      <c r="G18" s="103"/>
      <c r="H18" s="1092"/>
      <c r="I18" s="1092"/>
      <c r="J18" s="1085"/>
      <c r="K18" s="1085"/>
      <c r="L18" s="908"/>
      <c r="M18" s="908"/>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908"/>
      <c r="N19" s="106"/>
      <c r="O19" s="107"/>
    </row>
    <row r="20" spans="1:15" s="85" customFormat="1" ht="12.75" customHeight="1">
      <c r="A20" s="916"/>
      <c r="B20" s="1086"/>
      <c r="C20" s="1095"/>
      <c r="D20" s="1091"/>
      <c r="E20" s="1091"/>
      <c r="F20" s="1093"/>
      <c r="G20" s="98"/>
      <c r="H20" s="1091"/>
      <c r="I20" s="1091"/>
      <c r="J20" s="1084"/>
      <c r="K20" s="1084"/>
      <c r="L20" s="908"/>
      <c r="M20" s="908"/>
      <c r="N20" s="106"/>
      <c r="O20" s="107"/>
    </row>
    <row r="21" spans="1:15" s="85" customFormat="1" ht="12.75" customHeight="1">
      <c r="A21" s="916"/>
      <c r="B21" s="1087"/>
      <c r="C21" s="1096"/>
      <c r="D21" s="1092"/>
      <c r="E21" s="1092"/>
      <c r="F21" s="1094"/>
      <c r="G21" s="103"/>
      <c r="H21" s="1092"/>
      <c r="I21" s="1092"/>
      <c r="J21" s="1085"/>
      <c r="K21" s="1085"/>
      <c r="L21" s="908"/>
      <c r="M21" s="908"/>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908"/>
      <c r="N22" s="106"/>
      <c r="O22" s="107"/>
    </row>
    <row r="23" spans="1:15" s="85" customFormat="1" ht="12.75" customHeight="1">
      <c r="A23" s="916"/>
      <c r="B23" s="1086"/>
      <c r="C23" s="1095"/>
      <c r="D23" s="1091"/>
      <c r="E23" s="1091"/>
      <c r="F23" s="1093"/>
      <c r="G23" s="98"/>
      <c r="H23" s="1091"/>
      <c r="I23" s="1091"/>
      <c r="J23" s="1084"/>
      <c r="K23" s="1084"/>
      <c r="L23" s="908"/>
      <c r="M23" s="908"/>
      <c r="N23" s="106"/>
      <c r="O23" s="107"/>
    </row>
    <row r="24" spans="1:15" s="85" customFormat="1" ht="12.75" customHeight="1">
      <c r="A24" s="916"/>
      <c r="B24" s="1087"/>
      <c r="C24" s="1096"/>
      <c r="D24" s="1092"/>
      <c r="E24" s="1092"/>
      <c r="F24" s="1094"/>
      <c r="G24" s="103"/>
      <c r="H24" s="1092"/>
      <c r="I24" s="1092"/>
      <c r="J24" s="1085"/>
      <c r="K24" s="1085"/>
      <c r="L24" s="908"/>
      <c r="M24" s="908"/>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908"/>
      <c r="N25" s="106"/>
      <c r="O25" s="107"/>
    </row>
    <row r="26" spans="1:15" s="85" customFormat="1" ht="12.75" customHeight="1">
      <c r="A26" s="916"/>
      <c r="B26" s="1086"/>
      <c r="C26" s="1095"/>
      <c r="D26" s="1091"/>
      <c r="E26" s="1091"/>
      <c r="F26" s="1093"/>
      <c r="G26" s="98"/>
      <c r="H26" s="1091"/>
      <c r="I26" s="1091"/>
      <c r="J26" s="1084"/>
      <c r="K26" s="1084"/>
      <c r="L26" s="908"/>
      <c r="M26" s="908"/>
      <c r="N26" s="106"/>
      <c r="O26" s="107"/>
    </row>
    <row r="27" spans="1:15" s="85" customFormat="1" ht="12.75" customHeight="1">
      <c r="A27" s="916"/>
      <c r="B27" s="1087"/>
      <c r="C27" s="1096"/>
      <c r="D27" s="1092"/>
      <c r="E27" s="1092"/>
      <c r="F27" s="1094"/>
      <c r="G27" s="103"/>
      <c r="H27" s="1092"/>
      <c r="I27" s="1092"/>
      <c r="J27" s="1085"/>
      <c r="K27" s="1085"/>
      <c r="L27" s="908"/>
      <c r="M27" s="908"/>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908"/>
      <c r="N28" s="106"/>
      <c r="O28" s="107"/>
    </row>
    <row r="29" spans="1:15" s="85" customFormat="1" ht="12.75" customHeight="1">
      <c r="A29" s="916"/>
      <c r="B29" s="1086"/>
      <c r="C29" s="1095"/>
      <c r="D29" s="1091"/>
      <c r="E29" s="1091"/>
      <c r="F29" s="1093"/>
      <c r="G29" s="98"/>
      <c r="H29" s="1091"/>
      <c r="I29" s="1091"/>
      <c r="J29" s="1084"/>
      <c r="K29" s="1084"/>
      <c r="L29" s="908"/>
      <c r="M29" s="908"/>
      <c r="N29" s="106"/>
      <c r="O29" s="107"/>
    </row>
    <row r="30" spans="1:15" s="85" customFormat="1" ht="12.75" customHeight="1">
      <c r="A30" s="916"/>
      <c r="B30" s="1087"/>
      <c r="C30" s="1096"/>
      <c r="D30" s="1092"/>
      <c r="E30" s="1092"/>
      <c r="F30" s="1094"/>
      <c r="G30" s="103"/>
      <c r="H30" s="1092"/>
      <c r="I30" s="1092"/>
      <c r="J30" s="1085"/>
      <c r="K30" s="1085"/>
      <c r="L30" s="908"/>
      <c r="M30" s="908"/>
      <c r="N30" s="106"/>
      <c r="O30" s="107"/>
    </row>
    <row r="31" spans="1:15" s="85" customFormat="1" ht="12.75" customHeight="1">
      <c r="A31" s="916"/>
      <c r="B31" s="1107">
        <v>7</v>
      </c>
      <c r="C31" s="1107"/>
      <c r="D31" s="1107"/>
      <c r="E31" s="1099" t="s">
        <v>20</v>
      </c>
      <c r="F31" s="1103" t="str">
        <f>VLOOKUP(E31,$N$13:$O$17,2,0)</f>
        <v>-</v>
      </c>
      <c r="G31" s="114"/>
      <c r="H31" s="1099"/>
      <c r="I31" s="1099"/>
      <c r="J31" s="1083"/>
      <c r="K31" s="1083"/>
      <c r="L31" s="908"/>
      <c r="M31" s="908"/>
      <c r="N31" s="106"/>
      <c r="O31" s="107"/>
    </row>
    <row r="32" spans="1:15" s="85" customFormat="1" ht="12.75" customHeight="1">
      <c r="A32" s="916"/>
      <c r="B32" s="1086"/>
      <c r="C32" s="1086"/>
      <c r="D32" s="1086"/>
      <c r="E32" s="1091"/>
      <c r="F32" s="1093"/>
      <c r="G32" s="98"/>
      <c r="H32" s="1091"/>
      <c r="I32" s="1091"/>
      <c r="J32" s="1084"/>
      <c r="K32" s="1084"/>
      <c r="L32" s="908"/>
      <c r="M32" s="908"/>
      <c r="N32" s="106"/>
      <c r="O32" s="107"/>
    </row>
    <row r="33" spans="1:15" s="85" customFormat="1" ht="12.75" customHeight="1">
      <c r="A33" s="916"/>
      <c r="B33" s="1108"/>
      <c r="C33" s="1108"/>
      <c r="D33" s="1108"/>
      <c r="E33" s="1100"/>
      <c r="F33" s="1101"/>
      <c r="G33" s="842"/>
      <c r="H33" s="1100"/>
      <c r="I33" s="1100"/>
      <c r="J33" s="1101"/>
      <c r="K33" s="1101"/>
      <c r="L33" s="908"/>
      <c r="M33" s="908"/>
      <c r="N33" s="106"/>
      <c r="O33" s="107"/>
    </row>
    <row r="34" spans="1:15" s="85" customFormat="1" ht="12.75" customHeight="1">
      <c r="A34" s="916"/>
      <c r="B34" s="1086">
        <v>8</v>
      </c>
      <c r="C34" s="1095"/>
      <c r="D34" s="1091"/>
      <c r="E34" s="1091" t="s">
        <v>20</v>
      </c>
      <c r="F34" s="1093" t="str">
        <f>VLOOKUP(E34,$N$13:$O$17,2,0)</f>
        <v>-</v>
      </c>
      <c r="G34" s="95"/>
      <c r="H34" s="1091"/>
      <c r="I34" s="1091"/>
      <c r="J34" s="1084"/>
      <c r="K34" s="1084"/>
      <c r="L34" s="908"/>
      <c r="M34" s="908"/>
      <c r="N34" s="106"/>
      <c r="O34" s="107"/>
    </row>
    <row r="35" spans="1:15" s="85" customFormat="1" ht="12.75" customHeight="1">
      <c r="A35" s="916"/>
      <c r="B35" s="1086"/>
      <c r="C35" s="1095"/>
      <c r="D35" s="1091"/>
      <c r="E35" s="1091"/>
      <c r="F35" s="1093"/>
      <c r="G35" s="98"/>
      <c r="H35" s="1091"/>
      <c r="I35" s="1091"/>
      <c r="J35" s="1084"/>
      <c r="K35" s="1084"/>
      <c r="L35" s="908"/>
      <c r="M35" s="908"/>
      <c r="N35" s="106"/>
      <c r="O35" s="107"/>
    </row>
    <row r="36" spans="1:15" s="85" customFormat="1" ht="12.75" customHeight="1">
      <c r="A36" s="916"/>
      <c r="B36" s="1087"/>
      <c r="C36" s="1096"/>
      <c r="D36" s="1092"/>
      <c r="E36" s="1092"/>
      <c r="F36" s="1094"/>
      <c r="G36" s="103"/>
      <c r="H36" s="1092"/>
      <c r="I36" s="1092"/>
      <c r="J36" s="1085"/>
      <c r="K36" s="1085"/>
      <c r="L36" s="908"/>
      <c r="M36" s="908"/>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908"/>
      <c r="N37" s="106"/>
      <c r="O37" s="107"/>
    </row>
    <row r="38" spans="1:15" s="85" customFormat="1" ht="12.75" customHeight="1">
      <c r="A38" s="916"/>
      <c r="B38" s="1086"/>
      <c r="C38" s="1095"/>
      <c r="D38" s="1091"/>
      <c r="E38" s="1091"/>
      <c r="F38" s="1093"/>
      <c r="G38" s="98"/>
      <c r="H38" s="1091"/>
      <c r="I38" s="1091"/>
      <c r="J38" s="1084"/>
      <c r="K38" s="1084"/>
      <c r="L38" s="908"/>
      <c r="M38" s="908"/>
      <c r="N38" s="106"/>
      <c r="O38" s="107"/>
    </row>
    <row r="39" spans="1:15" s="85" customFormat="1" ht="12.75" customHeight="1">
      <c r="A39" s="916"/>
      <c r="B39" s="1087"/>
      <c r="C39" s="1096"/>
      <c r="D39" s="1092"/>
      <c r="E39" s="1092"/>
      <c r="F39" s="1094"/>
      <c r="G39" s="103"/>
      <c r="H39" s="1092"/>
      <c r="I39" s="1092"/>
      <c r="J39" s="1085"/>
      <c r="K39" s="1085"/>
      <c r="L39" s="908"/>
      <c r="M39" s="908"/>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908"/>
      <c r="N40" s="106"/>
      <c r="O40" s="107"/>
    </row>
    <row r="41" spans="1:15" s="85" customFormat="1" ht="12.75" customHeight="1">
      <c r="A41" s="916"/>
      <c r="B41" s="1086"/>
      <c r="C41" s="1095"/>
      <c r="D41" s="1091"/>
      <c r="E41" s="1091"/>
      <c r="F41" s="1093"/>
      <c r="G41" s="98"/>
      <c r="H41" s="1091"/>
      <c r="I41" s="1091"/>
      <c r="J41" s="1084"/>
      <c r="K41" s="1084"/>
      <c r="L41" s="908"/>
      <c r="M41" s="908"/>
      <c r="N41" s="106"/>
      <c r="O41" s="107"/>
    </row>
    <row r="42" spans="1:15" s="85" customFormat="1" ht="12.75" customHeight="1" thickBot="1">
      <c r="A42" s="916"/>
      <c r="B42" s="1087"/>
      <c r="C42" s="1096"/>
      <c r="D42" s="1092"/>
      <c r="E42" s="1092"/>
      <c r="F42" s="1094"/>
      <c r="G42" s="103"/>
      <c r="H42" s="1092"/>
      <c r="I42" s="1092"/>
      <c r="J42" s="1085"/>
      <c r="K42" s="1085"/>
      <c r="L42" s="908"/>
      <c r="M42" s="908"/>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c r="M43" s="932"/>
    </row>
    <row r="44" spans="1:15" s="106" customFormat="1" ht="15.75" hidden="1" customHeight="1" outlineLevel="1">
      <c r="A44" s="932"/>
      <c r="B44" s="1086"/>
      <c r="C44" s="1095"/>
      <c r="D44" s="1091"/>
      <c r="E44" s="1091"/>
      <c r="F44" s="1093"/>
      <c r="G44" s="98"/>
      <c r="H44" s="1091"/>
      <c r="I44" s="1091"/>
      <c r="J44" s="1084"/>
      <c r="K44" s="1084"/>
      <c r="L44" s="932"/>
      <c r="M44" s="932"/>
    </row>
    <row r="45" spans="1:15" s="83" customFormat="1" ht="15.75" hidden="1" customHeight="1" outlineLevel="1">
      <c r="A45" s="926"/>
      <c r="B45" s="1087"/>
      <c r="C45" s="1096"/>
      <c r="D45" s="1092"/>
      <c r="E45" s="1092"/>
      <c r="F45" s="1094"/>
      <c r="G45" s="103"/>
      <c r="H45" s="1092"/>
      <c r="I45" s="1092"/>
      <c r="J45" s="1085"/>
      <c r="K45" s="1085"/>
      <c r="L45" s="926"/>
      <c r="M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c r="M46" s="926"/>
    </row>
    <row r="47" spans="1:15" s="106" customFormat="1" ht="15.75" hidden="1" customHeight="1" outlineLevel="1">
      <c r="A47" s="932"/>
      <c r="B47" s="1086"/>
      <c r="C47" s="1095"/>
      <c r="D47" s="1091"/>
      <c r="E47" s="1091"/>
      <c r="F47" s="1093"/>
      <c r="G47" s="98"/>
      <c r="H47" s="1091"/>
      <c r="I47" s="1091"/>
      <c r="J47" s="1084"/>
      <c r="K47" s="1084"/>
      <c r="L47" s="932"/>
      <c r="M47" s="932"/>
    </row>
    <row r="48" spans="1:15" s="106" customFormat="1" ht="15.75" hidden="1" customHeight="1" outlineLevel="1">
      <c r="A48" s="932"/>
      <c r="B48" s="1087"/>
      <c r="C48" s="1096"/>
      <c r="D48" s="1092"/>
      <c r="E48" s="1092"/>
      <c r="F48" s="1094"/>
      <c r="G48" s="103"/>
      <c r="H48" s="1092"/>
      <c r="I48" s="1092"/>
      <c r="J48" s="1085"/>
      <c r="K48" s="1085"/>
      <c r="L48" s="932"/>
      <c r="M48" s="932"/>
    </row>
    <row r="49" spans="1:13" s="106" customFormat="1" ht="15.75" hidden="1" customHeight="1" outlineLevel="1">
      <c r="A49" s="932"/>
      <c r="B49" s="1086">
        <v>13</v>
      </c>
      <c r="C49" s="1095"/>
      <c r="D49" s="1091"/>
      <c r="E49" s="1091" t="s">
        <v>20</v>
      </c>
      <c r="F49" s="1093" t="str">
        <f>VLOOKUP(E49,$N$13:$O$17,2,0)</f>
        <v>-</v>
      </c>
      <c r="G49" s="95"/>
      <c r="H49" s="1091"/>
      <c r="I49" s="1091"/>
      <c r="J49" s="1083"/>
      <c r="K49" s="1083"/>
      <c r="L49" s="932"/>
      <c r="M49" s="932"/>
    </row>
    <row r="50" spans="1:13" s="106" customFormat="1" ht="15.75" hidden="1" customHeight="1" outlineLevel="1">
      <c r="A50" s="932"/>
      <c r="B50" s="1086"/>
      <c r="C50" s="1095"/>
      <c r="D50" s="1091"/>
      <c r="E50" s="1091"/>
      <c r="F50" s="1093"/>
      <c r="G50" s="98"/>
      <c r="H50" s="1091"/>
      <c r="I50" s="1091"/>
      <c r="J50" s="1084"/>
      <c r="K50" s="1084"/>
      <c r="L50" s="932"/>
      <c r="M50" s="932"/>
    </row>
    <row r="51" spans="1:13" s="106" customFormat="1" ht="15.75" hidden="1" customHeight="1" outlineLevel="1">
      <c r="A51" s="932"/>
      <c r="B51" s="1087"/>
      <c r="C51" s="1096"/>
      <c r="D51" s="1092"/>
      <c r="E51" s="1092"/>
      <c r="F51" s="1094"/>
      <c r="G51" s="103"/>
      <c r="H51" s="1092"/>
      <c r="I51" s="1092"/>
      <c r="J51" s="1085"/>
      <c r="K51" s="1085"/>
      <c r="L51" s="932"/>
      <c r="M51" s="932"/>
    </row>
    <row r="52" spans="1:13" s="106" customFormat="1" ht="15.75" hidden="1" customHeight="1" outlineLevel="1">
      <c r="A52" s="932"/>
      <c r="B52" s="1086">
        <v>14</v>
      </c>
      <c r="C52" s="1095"/>
      <c r="D52" s="1091"/>
      <c r="E52" s="1091" t="s">
        <v>20</v>
      </c>
      <c r="F52" s="1093" t="str">
        <f>VLOOKUP(E52,$N$13:$O$17,2,0)</f>
        <v>-</v>
      </c>
      <c r="G52" s="95"/>
      <c r="H52" s="1091"/>
      <c r="I52" s="1091"/>
      <c r="J52" s="1083"/>
      <c r="K52" s="1083"/>
      <c r="L52" s="932"/>
      <c r="M52" s="932"/>
    </row>
    <row r="53" spans="1:13" s="106" customFormat="1" ht="15.75" hidden="1" customHeight="1" outlineLevel="1">
      <c r="A53" s="932"/>
      <c r="B53" s="1086"/>
      <c r="C53" s="1095"/>
      <c r="D53" s="1091"/>
      <c r="E53" s="1091"/>
      <c r="F53" s="1093"/>
      <c r="G53" s="98"/>
      <c r="H53" s="1091"/>
      <c r="I53" s="1091"/>
      <c r="J53" s="1084"/>
      <c r="K53" s="1084"/>
      <c r="L53" s="932"/>
      <c r="M53" s="932"/>
    </row>
    <row r="54" spans="1:13" s="106" customFormat="1" ht="15.75" hidden="1" customHeight="1" outlineLevel="1">
      <c r="A54" s="932"/>
      <c r="B54" s="1087"/>
      <c r="C54" s="1096"/>
      <c r="D54" s="1092"/>
      <c r="E54" s="1092"/>
      <c r="F54" s="1094"/>
      <c r="G54" s="103"/>
      <c r="H54" s="1092"/>
      <c r="I54" s="1092"/>
      <c r="J54" s="1085"/>
      <c r="K54" s="1085"/>
      <c r="L54" s="932"/>
      <c r="M54" s="932"/>
    </row>
    <row r="55" spans="1:13" s="106" customFormat="1" ht="15.75" hidden="1" customHeight="1" outlineLevel="1">
      <c r="A55" s="932"/>
      <c r="B55" s="1086">
        <v>15</v>
      </c>
      <c r="C55" s="1095"/>
      <c r="D55" s="1091"/>
      <c r="E55" s="1091" t="s">
        <v>20</v>
      </c>
      <c r="F55" s="1093" t="str">
        <f>VLOOKUP(E55,$N$13:$O$17,2,0)</f>
        <v>-</v>
      </c>
      <c r="G55" s="95"/>
      <c r="H55" s="1091"/>
      <c r="I55" s="1091"/>
      <c r="J55" s="1083"/>
      <c r="K55" s="1083"/>
      <c r="L55" s="932"/>
      <c r="M55" s="932"/>
    </row>
    <row r="56" spans="1:13" s="106" customFormat="1" ht="15.75" hidden="1" customHeight="1" outlineLevel="1">
      <c r="A56" s="932"/>
      <c r="B56" s="1086"/>
      <c r="C56" s="1095"/>
      <c r="D56" s="1091"/>
      <c r="E56" s="1091"/>
      <c r="F56" s="1093"/>
      <c r="G56" s="98"/>
      <c r="H56" s="1091"/>
      <c r="I56" s="1091"/>
      <c r="J56" s="1084"/>
      <c r="K56" s="1084"/>
      <c r="L56" s="932"/>
      <c r="M56" s="932"/>
    </row>
    <row r="57" spans="1:13" s="106" customFormat="1" ht="15.75" hidden="1" customHeight="1" outlineLevel="1">
      <c r="A57" s="932"/>
      <c r="B57" s="1087"/>
      <c r="C57" s="1096"/>
      <c r="D57" s="1092"/>
      <c r="E57" s="1092"/>
      <c r="F57" s="1094"/>
      <c r="G57" s="103"/>
      <c r="H57" s="1092"/>
      <c r="I57" s="1092"/>
      <c r="J57" s="1085"/>
      <c r="K57" s="1085"/>
      <c r="L57" s="932"/>
      <c r="M57" s="932"/>
    </row>
    <row r="58" spans="1:13" s="106" customFormat="1" ht="15.75" hidden="1" customHeight="1" outlineLevel="1">
      <c r="A58" s="932"/>
      <c r="B58" s="1086">
        <v>16</v>
      </c>
      <c r="C58" s="1095"/>
      <c r="D58" s="1091"/>
      <c r="E58" s="1091" t="s">
        <v>20</v>
      </c>
      <c r="F58" s="1093" t="e">
        <f>IF(F$25=0,0,F32/F$25)</f>
        <v>#VALUE!</v>
      </c>
      <c r="G58" s="95"/>
      <c r="H58" s="1091"/>
      <c r="I58" s="1091"/>
      <c r="J58" s="1083"/>
      <c r="K58" s="1083"/>
      <c r="L58" s="932"/>
      <c r="M58" s="932"/>
    </row>
    <row r="59" spans="1:13" s="106" customFormat="1" ht="15.75" hidden="1" customHeight="1" outlineLevel="1">
      <c r="A59" s="932"/>
      <c r="B59" s="1086"/>
      <c r="C59" s="1095"/>
      <c r="D59" s="1091"/>
      <c r="E59" s="1091"/>
      <c r="F59" s="1093"/>
      <c r="G59" s="98"/>
      <c r="H59" s="1091"/>
      <c r="I59" s="1091"/>
      <c r="J59" s="1084"/>
      <c r="K59" s="1084"/>
      <c r="L59" s="932"/>
      <c r="M59" s="932"/>
    </row>
    <row r="60" spans="1:13" s="106" customFormat="1" ht="15.75" hidden="1" customHeight="1" outlineLevel="1">
      <c r="A60" s="932"/>
      <c r="B60" s="1087"/>
      <c r="C60" s="1096"/>
      <c r="D60" s="1092"/>
      <c r="E60" s="1092"/>
      <c r="F60" s="1094"/>
      <c r="G60" s="103"/>
      <c r="H60" s="1092"/>
      <c r="I60" s="1092"/>
      <c r="J60" s="1085"/>
      <c r="K60" s="1085"/>
      <c r="L60" s="932"/>
      <c r="M60" s="932"/>
    </row>
    <row r="61" spans="1:13" s="106" customFormat="1" ht="15.75" hidden="1" customHeight="1" outlineLevel="1">
      <c r="A61" s="932"/>
      <c r="B61" s="1086">
        <v>17</v>
      </c>
      <c r="C61" s="1095"/>
      <c r="D61" s="1091"/>
      <c r="E61" s="1091" t="s">
        <v>20</v>
      </c>
      <c r="F61" s="1093" t="str">
        <f>VLOOKUP(E61,$N$13:$O$17,2,0)</f>
        <v>-</v>
      </c>
      <c r="G61" s="95"/>
      <c r="H61" s="1091"/>
      <c r="I61" s="1091"/>
      <c r="J61" s="1083"/>
      <c r="K61" s="1083"/>
      <c r="L61" s="932"/>
      <c r="M61" s="932"/>
    </row>
    <row r="62" spans="1:13" s="106" customFormat="1" ht="15.75" hidden="1" customHeight="1" outlineLevel="1">
      <c r="A62" s="932"/>
      <c r="B62" s="1086"/>
      <c r="C62" s="1095"/>
      <c r="D62" s="1091"/>
      <c r="E62" s="1091"/>
      <c r="F62" s="1093"/>
      <c r="G62" s="98"/>
      <c r="H62" s="1091"/>
      <c r="I62" s="1091"/>
      <c r="J62" s="1084"/>
      <c r="K62" s="1084"/>
      <c r="L62" s="932"/>
      <c r="M62" s="932"/>
    </row>
    <row r="63" spans="1:13" s="106" customFormat="1" ht="15.75" hidden="1" customHeight="1" outlineLevel="1">
      <c r="A63" s="932"/>
      <c r="B63" s="1087"/>
      <c r="C63" s="1096"/>
      <c r="D63" s="1092"/>
      <c r="E63" s="1092"/>
      <c r="F63" s="1094"/>
      <c r="G63" s="103"/>
      <c r="H63" s="1092"/>
      <c r="I63" s="1092"/>
      <c r="J63" s="1085"/>
      <c r="K63" s="1085"/>
      <c r="L63" s="932"/>
      <c r="M63" s="932"/>
    </row>
    <row r="64" spans="1:13" s="106" customFormat="1" ht="15.75" hidden="1" customHeight="1" outlineLevel="1">
      <c r="A64" s="932"/>
      <c r="B64" s="1086">
        <v>18</v>
      </c>
      <c r="C64" s="1095"/>
      <c r="D64" s="1091"/>
      <c r="E64" s="1091" t="s">
        <v>20</v>
      </c>
      <c r="F64" s="1093" t="str">
        <f>VLOOKUP(E64,$N$13:$O$17,2,0)</f>
        <v>-</v>
      </c>
      <c r="G64" s="95"/>
      <c r="H64" s="1091"/>
      <c r="I64" s="1091"/>
      <c r="J64" s="1083"/>
      <c r="K64" s="1083"/>
      <c r="L64" s="932"/>
      <c r="M64" s="932"/>
    </row>
    <row r="65" spans="1:13" s="106" customFormat="1" ht="15.75" hidden="1" customHeight="1" outlineLevel="1">
      <c r="A65" s="932"/>
      <c r="B65" s="1086"/>
      <c r="C65" s="1095"/>
      <c r="D65" s="1091"/>
      <c r="E65" s="1091"/>
      <c r="F65" s="1093"/>
      <c r="G65" s="98"/>
      <c r="H65" s="1091"/>
      <c r="I65" s="1091"/>
      <c r="J65" s="1084"/>
      <c r="K65" s="1084"/>
      <c r="L65" s="932"/>
      <c r="M65" s="932"/>
    </row>
    <row r="66" spans="1:13" s="106" customFormat="1" ht="15.75" hidden="1" customHeight="1" outlineLevel="1">
      <c r="A66" s="932"/>
      <c r="B66" s="1087"/>
      <c r="C66" s="1096"/>
      <c r="D66" s="1092"/>
      <c r="E66" s="1092"/>
      <c r="F66" s="1094"/>
      <c r="G66" s="103"/>
      <c r="H66" s="1092"/>
      <c r="I66" s="1092"/>
      <c r="J66" s="1085"/>
      <c r="K66" s="1085"/>
      <c r="L66" s="932"/>
      <c r="M66" s="932"/>
    </row>
    <row r="67" spans="1:13" s="106" customFormat="1" ht="15.75" hidden="1" customHeight="1" outlineLevel="1">
      <c r="A67" s="932"/>
      <c r="B67" s="1086">
        <v>19</v>
      </c>
      <c r="C67" s="1095"/>
      <c r="D67" s="1091"/>
      <c r="E67" s="1091" t="s">
        <v>20</v>
      </c>
      <c r="F67" s="1093" t="str">
        <f>VLOOKUP(E67,$N$13:$O$17,2,0)</f>
        <v>-</v>
      </c>
      <c r="G67" s="95"/>
      <c r="H67" s="1091"/>
      <c r="I67" s="1091"/>
      <c r="J67" s="1083"/>
      <c r="K67" s="1083"/>
      <c r="L67" s="932"/>
      <c r="M67" s="932"/>
    </row>
    <row r="68" spans="1:13" s="106" customFormat="1" ht="15.75" hidden="1" customHeight="1" outlineLevel="1">
      <c r="A68" s="932"/>
      <c r="B68" s="1086"/>
      <c r="C68" s="1095"/>
      <c r="D68" s="1091"/>
      <c r="E68" s="1091"/>
      <c r="F68" s="1093"/>
      <c r="G68" s="98"/>
      <c r="H68" s="1091"/>
      <c r="I68" s="1091"/>
      <c r="J68" s="1084"/>
      <c r="K68" s="1084"/>
      <c r="L68" s="932"/>
      <c r="M68" s="932"/>
    </row>
    <row r="69" spans="1:13" s="106" customFormat="1" ht="15.75" hidden="1" customHeight="1" outlineLevel="1">
      <c r="A69" s="932"/>
      <c r="B69" s="1087"/>
      <c r="C69" s="1096"/>
      <c r="D69" s="1092"/>
      <c r="E69" s="1092"/>
      <c r="F69" s="1094"/>
      <c r="G69" s="103"/>
      <c r="H69" s="1092"/>
      <c r="I69" s="1092"/>
      <c r="J69" s="1085"/>
      <c r="K69" s="1085"/>
      <c r="L69" s="932"/>
      <c r="M69" s="932"/>
    </row>
    <row r="70" spans="1:13" s="106" customFormat="1" ht="15.75" hidden="1" customHeight="1" outlineLevel="1">
      <c r="A70" s="932"/>
      <c r="B70" s="1086">
        <v>20</v>
      </c>
      <c r="C70" s="1095"/>
      <c r="D70" s="1091"/>
      <c r="E70" s="1091" t="s">
        <v>20</v>
      </c>
      <c r="F70" s="1093" t="str">
        <f>VLOOKUP(E70,$N$13:$O$17,2,0)</f>
        <v>-</v>
      </c>
      <c r="G70" s="95"/>
      <c r="H70" s="1091"/>
      <c r="I70" s="1091"/>
      <c r="J70" s="1083"/>
      <c r="K70" s="1083"/>
      <c r="L70" s="932"/>
      <c r="M70" s="932"/>
    </row>
    <row r="71" spans="1:13" s="106" customFormat="1" ht="15.75" hidden="1" customHeight="1" outlineLevel="1">
      <c r="A71" s="932"/>
      <c r="B71" s="1086"/>
      <c r="C71" s="1095"/>
      <c r="D71" s="1091"/>
      <c r="E71" s="1091"/>
      <c r="F71" s="1093"/>
      <c r="G71" s="98"/>
      <c r="H71" s="1091"/>
      <c r="I71" s="1091"/>
      <c r="J71" s="1084"/>
      <c r="K71" s="1084"/>
      <c r="L71" s="932"/>
      <c r="M71" s="932"/>
    </row>
    <row r="72" spans="1:13" s="106" customFormat="1" ht="15.75" hidden="1" customHeight="1" outlineLevel="1">
      <c r="A72" s="932"/>
      <c r="B72" s="1087"/>
      <c r="C72" s="1096"/>
      <c r="D72" s="1092"/>
      <c r="E72" s="1092"/>
      <c r="F72" s="1094"/>
      <c r="G72" s="103"/>
      <c r="H72" s="1092"/>
      <c r="I72" s="1092"/>
      <c r="J72" s="1085"/>
      <c r="K72" s="1085"/>
      <c r="L72" s="932"/>
      <c r="M72" s="932"/>
    </row>
    <row r="73" spans="1:13" s="106" customFormat="1" ht="15.75" hidden="1" customHeight="1" outlineLevel="1">
      <c r="A73" s="932"/>
      <c r="B73" s="1086">
        <v>21</v>
      </c>
      <c r="C73" s="1095"/>
      <c r="D73" s="1091"/>
      <c r="E73" s="1091" t="s">
        <v>20</v>
      </c>
      <c r="F73" s="1093" t="str">
        <f>VLOOKUP(E73,$N$13:$O$17,2,0)</f>
        <v>-</v>
      </c>
      <c r="G73" s="95"/>
      <c r="H73" s="1091"/>
      <c r="I73" s="1091"/>
      <c r="J73" s="1083"/>
      <c r="K73" s="1083"/>
      <c r="L73" s="932"/>
      <c r="M73" s="932"/>
    </row>
    <row r="74" spans="1:13" s="106" customFormat="1" ht="15.75" hidden="1" customHeight="1" outlineLevel="1">
      <c r="A74" s="932"/>
      <c r="B74" s="1086"/>
      <c r="C74" s="1095"/>
      <c r="D74" s="1091"/>
      <c r="E74" s="1091"/>
      <c r="F74" s="1093"/>
      <c r="G74" s="98"/>
      <c r="H74" s="1091"/>
      <c r="I74" s="1091"/>
      <c r="J74" s="1084"/>
      <c r="K74" s="1084"/>
      <c r="L74" s="932"/>
      <c r="M74" s="932"/>
    </row>
    <row r="75" spans="1:13" s="106" customFormat="1" ht="15.75" hidden="1" customHeight="1" outlineLevel="1">
      <c r="A75" s="932"/>
      <c r="B75" s="1087"/>
      <c r="C75" s="1096"/>
      <c r="D75" s="1092"/>
      <c r="E75" s="1092"/>
      <c r="F75" s="1094"/>
      <c r="G75" s="103"/>
      <c r="H75" s="1092"/>
      <c r="I75" s="1092"/>
      <c r="J75" s="1085"/>
      <c r="K75" s="1085"/>
      <c r="L75" s="932"/>
      <c r="M75" s="932"/>
    </row>
    <row r="76" spans="1:13" s="106" customFormat="1" ht="15.75" hidden="1" customHeight="1" outlineLevel="1">
      <c r="A76" s="932"/>
      <c r="B76" s="1086">
        <v>22</v>
      </c>
      <c r="C76" s="1095"/>
      <c r="D76" s="1091"/>
      <c r="E76" s="1091" t="s">
        <v>20</v>
      </c>
      <c r="F76" s="1093" t="str">
        <f>VLOOKUP(E76,$N$13:$O$17,2,0)</f>
        <v>-</v>
      </c>
      <c r="G76" s="95"/>
      <c r="H76" s="1091"/>
      <c r="I76" s="1091"/>
      <c r="J76" s="1083"/>
      <c r="K76" s="1083"/>
      <c r="L76" s="932"/>
      <c r="M76" s="932"/>
    </row>
    <row r="77" spans="1:13" s="106" customFormat="1" ht="15.75" hidden="1" customHeight="1" outlineLevel="1">
      <c r="A77" s="932"/>
      <c r="B77" s="1086"/>
      <c r="C77" s="1095"/>
      <c r="D77" s="1091"/>
      <c r="E77" s="1091"/>
      <c r="F77" s="1093"/>
      <c r="G77" s="98"/>
      <c r="H77" s="1091"/>
      <c r="I77" s="1091"/>
      <c r="J77" s="1084"/>
      <c r="K77" s="1084"/>
      <c r="L77" s="932"/>
      <c r="M77" s="932"/>
    </row>
    <row r="78" spans="1:13" s="106" customFormat="1" ht="15.75" hidden="1" customHeight="1" outlineLevel="1">
      <c r="A78" s="932"/>
      <c r="B78" s="1087"/>
      <c r="C78" s="1096"/>
      <c r="D78" s="1092"/>
      <c r="E78" s="1092"/>
      <c r="F78" s="1094"/>
      <c r="G78" s="103"/>
      <c r="H78" s="1092"/>
      <c r="I78" s="1092"/>
      <c r="J78" s="1085"/>
      <c r="K78" s="1085"/>
      <c r="L78" s="932"/>
      <c r="M78" s="932"/>
    </row>
    <row r="79" spans="1:13" s="106" customFormat="1" ht="15.75" hidden="1" customHeight="1" outlineLevel="1">
      <c r="A79" s="932"/>
      <c r="B79" s="1086">
        <v>23</v>
      </c>
      <c r="C79" s="1095"/>
      <c r="D79" s="1091"/>
      <c r="E79" s="1091" t="s">
        <v>20</v>
      </c>
      <c r="F79" s="1093" t="str">
        <f>VLOOKUP(E79,$N$13:$O$17,2,0)</f>
        <v>-</v>
      </c>
      <c r="G79" s="95"/>
      <c r="H79" s="1091"/>
      <c r="I79" s="1091"/>
      <c r="J79" s="1083"/>
      <c r="K79" s="1083"/>
      <c r="L79" s="932"/>
      <c r="M79" s="932"/>
    </row>
    <row r="80" spans="1:13" s="106" customFormat="1" ht="15.75" hidden="1" customHeight="1" outlineLevel="1">
      <c r="A80" s="932"/>
      <c r="B80" s="1086"/>
      <c r="C80" s="1095"/>
      <c r="D80" s="1091"/>
      <c r="E80" s="1091"/>
      <c r="F80" s="1093"/>
      <c r="G80" s="98"/>
      <c r="H80" s="1091"/>
      <c r="I80" s="1091"/>
      <c r="J80" s="1084"/>
      <c r="K80" s="1084"/>
      <c r="L80" s="932"/>
      <c r="M80" s="932"/>
    </row>
    <row r="81" spans="1:13" s="106" customFormat="1" ht="15.75" hidden="1" customHeight="1" outlineLevel="1">
      <c r="A81" s="932"/>
      <c r="B81" s="1087"/>
      <c r="C81" s="1096"/>
      <c r="D81" s="1092"/>
      <c r="E81" s="1092"/>
      <c r="F81" s="1094"/>
      <c r="G81" s="103"/>
      <c r="H81" s="1092"/>
      <c r="I81" s="1092"/>
      <c r="J81" s="1085"/>
      <c r="K81" s="1085"/>
      <c r="L81" s="932"/>
      <c r="M81" s="932"/>
    </row>
    <row r="82" spans="1:13" s="106" customFormat="1" ht="15.75" hidden="1" customHeight="1" outlineLevel="1">
      <c r="A82" s="932"/>
      <c r="B82" s="1086">
        <v>24</v>
      </c>
      <c r="C82" s="1095"/>
      <c r="D82" s="1091"/>
      <c r="E82" s="1091" t="s">
        <v>20</v>
      </c>
      <c r="F82" s="1093" t="str">
        <f>VLOOKUP(E82,$N$13:$O$17,2,0)</f>
        <v>-</v>
      </c>
      <c r="G82" s="95"/>
      <c r="H82" s="1091"/>
      <c r="I82" s="1091"/>
      <c r="J82" s="1083"/>
      <c r="K82" s="1083"/>
      <c r="L82" s="932"/>
      <c r="M82" s="932"/>
    </row>
    <row r="83" spans="1:13" s="106" customFormat="1" ht="15.75" hidden="1" customHeight="1" outlineLevel="1">
      <c r="A83" s="932"/>
      <c r="B83" s="1086"/>
      <c r="C83" s="1095"/>
      <c r="D83" s="1091"/>
      <c r="E83" s="1091"/>
      <c r="F83" s="1093"/>
      <c r="G83" s="98"/>
      <c r="H83" s="1091"/>
      <c r="I83" s="1091"/>
      <c r="J83" s="1084"/>
      <c r="K83" s="1084"/>
      <c r="L83" s="932"/>
      <c r="M83" s="932"/>
    </row>
    <row r="84" spans="1:13" s="106" customFormat="1" ht="15.75" hidden="1" customHeight="1" outlineLevel="1">
      <c r="A84" s="932"/>
      <c r="B84" s="1087"/>
      <c r="C84" s="1096"/>
      <c r="D84" s="1092"/>
      <c r="E84" s="1092"/>
      <c r="F84" s="1094"/>
      <c r="G84" s="103"/>
      <c r="H84" s="1092"/>
      <c r="I84" s="1092"/>
      <c r="J84" s="1085"/>
      <c r="K84" s="1085"/>
      <c r="L84" s="932"/>
      <c r="M84" s="932"/>
    </row>
    <row r="85" spans="1:13" s="106" customFormat="1" ht="15.75" hidden="1" customHeight="1" outlineLevel="1">
      <c r="A85" s="932"/>
      <c r="B85" s="1086">
        <v>25</v>
      </c>
      <c r="C85" s="1095"/>
      <c r="D85" s="1091"/>
      <c r="E85" s="1091" t="s">
        <v>20</v>
      </c>
      <c r="F85" s="1093" t="str">
        <f>VLOOKUP(E85,$N$13:$O$17,2,0)</f>
        <v>-</v>
      </c>
      <c r="G85" s="95"/>
      <c r="H85" s="1091"/>
      <c r="I85" s="1091"/>
      <c r="J85" s="1083"/>
      <c r="K85" s="1083"/>
      <c r="L85" s="932"/>
      <c r="M85" s="932"/>
    </row>
    <row r="86" spans="1:13" s="106" customFormat="1" ht="15.75" hidden="1" customHeight="1" outlineLevel="1">
      <c r="A86" s="932"/>
      <c r="B86" s="1086"/>
      <c r="C86" s="1095"/>
      <c r="D86" s="1091"/>
      <c r="E86" s="1091"/>
      <c r="F86" s="1093"/>
      <c r="G86" s="98"/>
      <c r="H86" s="1091"/>
      <c r="I86" s="1091"/>
      <c r="J86" s="1084"/>
      <c r="K86" s="1084"/>
      <c r="L86" s="932"/>
      <c r="M86" s="932"/>
    </row>
    <row r="87" spans="1:13" s="106" customFormat="1" ht="15.75" hidden="1" customHeight="1" outlineLevel="1">
      <c r="A87" s="932"/>
      <c r="B87" s="1087"/>
      <c r="C87" s="1096"/>
      <c r="D87" s="1092"/>
      <c r="E87" s="1092"/>
      <c r="F87" s="1094"/>
      <c r="G87" s="103"/>
      <c r="H87" s="1092"/>
      <c r="I87" s="1092"/>
      <c r="J87" s="1085"/>
      <c r="K87" s="1085"/>
      <c r="L87" s="932"/>
      <c r="M87" s="932"/>
    </row>
    <row r="88" spans="1:13" s="106" customFormat="1" ht="15.75" hidden="1" customHeight="1" outlineLevel="1">
      <c r="A88" s="932"/>
      <c r="B88" s="1086">
        <v>26</v>
      </c>
      <c r="C88" s="1095"/>
      <c r="D88" s="1091"/>
      <c r="E88" s="1091" t="s">
        <v>20</v>
      </c>
      <c r="F88" s="1093" t="str">
        <f>VLOOKUP(E88,$N$13:$O$17,2,0)</f>
        <v>-</v>
      </c>
      <c r="G88" s="95"/>
      <c r="H88" s="1091"/>
      <c r="I88" s="1091"/>
      <c r="J88" s="1083"/>
      <c r="K88" s="1083"/>
      <c r="L88" s="932"/>
      <c r="M88" s="932"/>
    </row>
    <row r="89" spans="1:13" s="106" customFormat="1" ht="15.75" hidden="1" customHeight="1" outlineLevel="1">
      <c r="A89" s="932"/>
      <c r="B89" s="1086"/>
      <c r="C89" s="1095"/>
      <c r="D89" s="1091"/>
      <c r="E89" s="1091"/>
      <c r="F89" s="1093"/>
      <c r="G89" s="98"/>
      <c r="H89" s="1091"/>
      <c r="I89" s="1091"/>
      <c r="J89" s="1084"/>
      <c r="K89" s="1084"/>
      <c r="L89" s="932"/>
      <c r="M89" s="932"/>
    </row>
    <row r="90" spans="1:13" s="106" customFormat="1" ht="15.75" hidden="1" customHeight="1" outlineLevel="1">
      <c r="A90" s="932"/>
      <c r="B90" s="1087"/>
      <c r="C90" s="1096"/>
      <c r="D90" s="1092"/>
      <c r="E90" s="1092"/>
      <c r="F90" s="1094"/>
      <c r="G90" s="103"/>
      <c r="H90" s="1092"/>
      <c r="I90" s="1092"/>
      <c r="J90" s="1085"/>
      <c r="K90" s="1085"/>
      <c r="L90" s="932"/>
      <c r="M90" s="932"/>
    </row>
    <row r="91" spans="1:13" s="106" customFormat="1" ht="15.75" hidden="1" customHeight="1" outlineLevel="1">
      <c r="A91" s="932"/>
      <c r="B91" s="1086">
        <v>27</v>
      </c>
      <c r="C91" s="1095"/>
      <c r="D91" s="1091"/>
      <c r="E91" s="1091" t="s">
        <v>20</v>
      </c>
      <c r="F91" s="1093" t="str">
        <f>VLOOKUP(E91,$N$13:$O$17,2,0)</f>
        <v>-</v>
      </c>
      <c r="G91" s="95"/>
      <c r="H91" s="1091"/>
      <c r="I91" s="1091"/>
      <c r="J91" s="1083"/>
      <c r="K91" s="1083"/>
      <c r="L91" s="932"/>
      <c r="M91" s="932"/>
    </row>
    <row r="92" spans="1:13" s="106" customFormat="1" ht="15.75" hidden="1" customHeight="1" outlineLevel="1">
      <c r="A92" s="932"/>
      <c r="B92" s="1086"/>
      <c r="C92" s="1095"/>
      <c r="D92" s="1091"/>
      <c r="E92" s="1091"/>
      <c r="F92" s="1093"/>
      <c r="G92" s="98"/>
      <c r="H92" s="1091"/>
      <c r="I92" s="1091"/>
      <c r="J92" s="1084"/>
      <c r="K92" s="1084"/>
      <c r="L92" s="932"/>
      <c r="M92" s="932"/>
    </row>
    <row r="93" spans="1:13" s="106" customFormat="1" ht="15.75" hidden="1" customHeight="1" outlineLevel="1">
      <c r="A93" s="932"/>
      <c r="B93" s="1087"/>
      <c r="C93" s="1096"/>
      <c r="D93" s="1092"/>
      <c r="E93" s="1092"/>
      <c r="F93" s="1094"/>
      <c r="G93" s="103"/>
      <c r="H93" s="1092"/>
      <c r="I93" s="1092"/>
      <c r="J93" s="1085"/>
      <c r="K93" s="1085"/>
      <c r="L93" s="932"/>
      <c r="M93" s="932"/>
    </row>
    <row r="94" spans="1:13" s="106" customFormat="1" ht="15.75" hidden="1" customHeight="1" outlineLevel="1">
      <c r="A94" s="932"/>
      <c r="B94" s="1086">
        <v>28</v>
      </c>
      <c r="C94" s="1095"/>
      <c r="D94" s="1091"/>
      <c r="E94" s="1091" t="s">
        <v>20</v>
      </c>
      <c r="F94" s="1093" t="str">
        <f>VLOOKUP(E94,$N$13:$O$17,2,0)</f>
        <v>-</v>
      </c>
      <c r="G94" s="95"/>
      <c r="H94" s="1091"/>
      <c r="I94" s="1091"/>
      <c r="J94" s="1083"/>
      <c r="K94" s="1083"/>
      <c r="L94" s="932"/>
      <c r="M94" s="932"/>
    </row>
    <row r="95" spans="1:13" s="106" customFormat="1" ht="15.75" hidden="1" customHeight="1" outlineLevel="1">
      <c r="A95" s="932"/>
      <c r="B95" s="1086"/>
      <c r="C95" s="1095"/>
      <c r="D95" s="1091"/>
      <c r="E95" s="1091"/>
      <c r="F95" s="1093"/>
      <c r="G95" s="98"/>
      <c r="H95" s="1091"/>
      <c r="I95" s="1091"/>
      <c r="J95" s="1084"/>
      <c r="K95" s="1084"/>
      <c r="L95" s="932"/>
      <c r="M95" s="932"/>
    </row>
    <row r="96" spans="1:13" s="106" customFormat="1" ht="15.75" hidden="1" customHeight="1" outlineLevel="1">
      <c r="A96" s="932"/>
      <c r="B96" s="1087"/>
      <c r="C96" s="1096"/>
      <c r="D96" s="1092"/>
      <c r="E96" s="1092"/>
      <c r="F96" s="1094"/>
      <c r="G96" s="103"/>
      <c r="H96" s="1092"/>
      <c r="I96" s="1092"/>
      <c r="J96" s="1085"/>
      <c r="K96" s="1085"/>
      <c r="L96" s="932"/>
      <c r="M96" s="932"/>
    </row>
    <row r="97" spans="1:13" s="106" customFormat="1" ht="15.75" hidden="1" customHeight="1" outlineLevel="1">
      <c r="A97" s="932"/>
      <c r="B97" s="1086">
        <v>29</v>
      </c>
      <c r="C97" s="1095"/>
      <c r="D97" s="1091"/>
      <c r="E97" s="1091" t="s">
        <v>20</v>
      </c>
      <c r="F97" s="1093" t="str">
        <f>VLOOKUP(E97,$N$13:$O$17,2,0)</f>
        <v>-</v>
      </c>
      <c r="G97" s="95"/>
      <c r="H97" s="1091"/>
      <c r="I97" s="1091"/>
      <c r="J97" s="1083"/>
      <c r="K97" s="1083"/>
      <c r="L97" s="932"/>
      <c r="M97" s="932"/>
    </row>
    <row r="98" spans="1:13" s="106" customFormat="1" ht="15.75" hidden="1" customHeight="1" outlineLevel="1">
      <c r="A98" s="932"/>
      <c r="B98" s="1086"/>
      <c r="C98" s="1095"/>
      <c r="D98" s="1091"/>
      <c r="E98" s="1091"/>
      <c r="F98" s="1093"/>
      <c r="G98" s="98"/>
      <c r="H98" s="1091"/>
      <c r="I98" s="1091"/>
      <c r="J98" s="1084"/>
      <c r="K98" s="1084"/>
      <c r="L98" s="932"/>
      <c r="M98" s="932"/>
    </row>
    <row r="99" spans="1:13" s="106" customFormat="1" ht="15.75" hidden="1" customHeight="1" outlineLevel="1">
      <c r="A99" s="932"/>
      <c r="B99" s="1087"/>
      <c r="C99" s="1096"/>
      <c r="D99" s="1092"/>
      <c r="E99" s="1092"/>
      <c r="F99" s="1094"/>
      <c r="G99" s="103"/>
      <c r="H99" s="1092"/>
      <c r="I99" s="1092"/>
      <c r="J99" s="1085"/>
      <c r="K99" s="1085"/>
      <c r="L99" s="932"/>
      <c r="M99" s="932"/>
    </row>
    <row r="100" spans="1:13" s="106" customFormat="1" ht="15.75" hidden="1" customHeight="1" outlineLevel="1">
      <c r="A100" s="932"/>
      <c r="B100" s="1086">
        <v>30</v>
      </c>
      <c r="C100" s="1095"/>
      <c r="D100" s="1091"/>
      <c r="E100" s="1091" t="s">
        <v>20</v>
      </c>
      <c r="F100" s="1093" t="str">
        <f>VLOOKUP(E100,$N$13:$O$17,2,0)</f>
        <v>-</v>
      </c>
      <c r="G100" s="95"/>
      <c r="H100" s="1091"/>
      <c r="I100" s="1091"/>
      <c r="J100" s="1083"/>
      <c r="K100" s="1083"/>
      <c r="L100" s="932"/>
      <c r="M100" s="932"/>
    </row>
    <row r="101" spans="1:13" s="106" customFormat="1" ht="15.75" hidden="1" customHeight="1" outlineLevel="1">
      <c r="A101" s="932"/>
      <c r="B101" s="1086"/>
      <c r="C101" s="1095"/>
      <c r="D101" s="1091"/>
      <c r="E101" s="1091"/>
      <c r="F101" s="1093"/>
      <c r="G101" s="98"/>
      <c r="H101" s="1091"/>
      <c r="I101" s="1091"/>
      <c r="J101" s="1084"/>
      <c r="K101" s="1084"/>
      <c r="L101" s="932"/>
      <c r="M101" s="932"/>
    </row>
    <row r="102" spans="1:13" s="106" customFormat="1" ht="15.75" hidden="1" customHeight="1" outlineLevel="1">
      <c r="A102" s="932"/>
      <c r="B102" s="1087"/>
      <c r="C102" s="1096"/>
      <c r="D102" s="1092"/>
      <c r="E102" s="1092"/>
      <c r="F102" s="1094"/>
      <c r="G102" s="103"/>
      <c r="H102" s="1092"/>
      <c r="I102" s="1092"/>
      <c r="J102" s="1085"/>
      <c r="K102" s="1085"/>
      <c r="L102" s="932"/>
      <c r="M102" s="932"/>
    </row>
    <row r="103" spans="1:13" s="106" customFormat="1" ht="15.75" hidden="1" customHeight="1" outlineLevel="1">
      <c r="A103" s="932"/>
      <c r="B103" s="1086">
        <v>31</v>
      </c>
      <c r="C103" s="1095"/>
      <c r="D103" s="1091"/>
      <c r="E103" s="1091" t="s">
        <v>20</v>
      </c>
      <c r="F103" s="1093" t="str">
        <f>VLOOKUP(E103,$N$13:$O$17,2,0)</f>
        <v>-</v>
      </c>
      <c r="G103" s="95"/>
      <c r="H103" s="1091"/>
      <c r="I103" s="1091"/>
      <c r="J103" s="1083"/>
      <c r="K103" s="1083"/>
      <c r="L103" s="932"/>
      <c r="M103" s="932"/>
    </row>
    <row r="104" spans="1:13" s="106" customFormat="1" ht="15.75" hidden="1" customHeight="1" outlineLevel="1">
      <c r="A104" s="932"/>
      <c r="B104" s="1086"/>
      <c r="C104" s="1095"/>
      <c r="D104" s="1091"/>
      <c r="E104" s="1091"/>
      <c r="F104" s="1093"/>
      <c r="G104" s="98"/>
      <c r="H104" s="1091"/>
      <c r="I104" s="1091"/>
      <c r="J104" s="1084"/>
      <c r="K104" s="1084"/>
      <c r="L104" s="932"/>
      <c r="M104" s="932"/>
    </row>
    <row r="105" spans="1:13" s="106" customFormat="1" ht="15.75" hidden="1" customHeight="1" outlineLevel="1">
      <c r="A105" s="932"/>
      <c r="B105" s="1087"/>
      <c r="C105" s="1096"/>
      <c r="D105" s="1092"/>
      <c r="E105" s="1092"/>
      <c r="F105" s="1094"/>
      <c r="G105" s="103"/>
      <c r="H105" s="1092"/>
      <c r="I105" s="1092"/>
      <c r="J105" s="1085"/>
      <c r="K105" s="1085"/>
      <c r="L105" s="932"/>
      <c r="M105" s="932"/>
    </row>
    <row r="106" spans="1:13" s="106" customFormat="1" ht="15.75" hidden="1" customHeight="1" outlineLevel="1">
      <c r="A106" s="932"/>
      <c r="B106" s="1086">
        <v>32</v>
      </c>
      <c r="C106" s="1095"/>
      <c r="D106" s="1091"/>
      <c r="E106" s="1091" t="s">
        <v>20</v>
      </c>
      <c r="F106" s="1093" t="str">
        <f>VLOOKUP(E106,$N$13:$O$17,2,0)</f>
        <v>-</v>
      </c>
      <c r="G106" s="95"/>
      <c r="H106" s="1091"/>
      <c r="I106" s="1091"/>
      <c r="J106" s="1083"/>
      <c r="K106" s="1083"/>
      <c r="L106" s="932"/>
      <c r="M106" s="932"/>
    </row>
    <row r="107" spans="1:13" s="106" customFormat="1" ht="15.75" hidden="1" customHeight="1" outlineLevel="1">
      <c r="A107" s="932"/>
      <c r="B107" s="1086"/>
      <c r="C107" s="1095"/>
      <c r="D107" s="1091"/>
      <c r="E107" s="1091"/>
      <c r="F107" s="1093"/>
      <c r="G107" s="98"/>
      <c r="H107" s="1091"/>
      <c r="I107" s="1091"/>
      <c r="J107" s="1084"/>
      <c r="K107" s="1084"/>
      <c r="L107" s="932"/>
      <c r="M107" s="932"/>
    </row>
    <row r="108" spans="1:13" s="106" customFormat="1" ht="15.75" hidden="1" customHeight="1" outlineLevel="1">
      <c r="A108" s="932"/>
      <c r="B108" s="1087"/>
      <c r="C108" s="1096"/>
      <c r="D108" s="1092"/>
      <c r="E108" s="1092"/>
      <c r="F108" s="1094"/>
      <c r="G108" s="103"/>
      <c r="H108" s="1092"/>
      <c r="I108" s="1092"/>
      <c r="J108" s="1085"/>
      <c r="K108" s="1085"/>
      <c r="L108" s="932"/>
      <c r="M108" s="932"/>
    </row>
    <row r="109" spans="1:13" s="106" customFormat="1" ht="15.75" hidden="1" customHeight="1" outlineLevel="1">
      <c r="A109" s="932"/>
      <c r="B109" s="1086">
        <v>33</v>
      </c>
      <c r="C109" s="1095"/>
      <c r="D109" s="1091"/>
      <c r="E109" s="1091" t="s">
        <v>20</v>
      </c>
      <c r="F109" s="1093" t="str">
        <f>VLOOKUP(E109,$N$13:$O$17,2,0)</f>
        <v>-</v>
      </c>
      <c r="G109" s="95"/>
      <c r="H109" s="1091"/>
      <c r="I109" s="1091"/>
      <c r="J109" s="1083"/>
      <c r="K109" s="1083"/>
      <c r="L109" s="932"/>
      <c r="M109" s="932"/>
    </row>
    <row r="110" spans="1:13" s="106" customFormat="1" ht="15.75" hidden="1" customHeight="1" outlineLevel="1">
      <c r="A110" s="932"/>
      <c r="B110" s="1086"/>
      <c r="C110" s="1095"/>
      <c r="D110" s="1091"/>
      <c r="E110" s="1091"/>
      <c r="F110" s="1093"/>
      <c r="G110" s="98"/>
      <c r="H110" s="1091"/>
      <c r="I110" s="1091"/>
      <c r="J110" s="1084"/>
      <c r="K110" s="1084"/>
      <c r="L110" s="932"/>
      <c r="M110" s="932"/>
    </row>
    <row r="111" spans="1:13" s="106" customFormat="1" ht="15.75" hidden="1" customHeight="1" outlineLevel="1">
      <c r="A111" s="932"/>
      <c r="B111" s="1087"/>
      <c r="C111" s="1096"/>
      <c r="D111" s="1092"/>
      <c r="E111" s="1092"/>
      <c r="F111" s="1094"/>
      <c r="G111" s="103"/>
      <c r="H111" s="1092"/>
      <c r="I111" s="1092"/>
      <c r="J111" s="1085"/>
      <c r="K111" s="1085"/>
      <c r="L111" s="932"/>
      <c r="M111" s="932"/>
    </row>
    <row r="112" spans="1:13" s="106" customFormat="1" ht="15.75" hidden="1" customHeight="1" outlineLevel="1">
      <c r="A112" s="932"/>
      <c r="B112" s="1086">
        <v>34</v>
      </c>
      <c r="C112" s="1095"/>
      <c r="D112" s="1091"/>
      <c r="E112" s="1091" t="s">
        <v>20</v>
      </c>
      <c r="F112" s="1093" t="str">
        <f>VLOOKUP(E112,$N$13:$O$17,2,0)</f>
        <v>-</v>
      </c>
      <c r="G112" s="95"/>
      <c r="H112" s="1091"/>
      <c r="I112" s="1091"/>
      <c r="J112" s="1083"/>
      <c r="K112" s="1083"/>
      <c r="L112" s="932"/>
      <c r="M112" s="932"/>
    </row>
    <row r="113" spans="1:13" s="106" customFormat="1" ht="15.75" hidden="1" customHeight="1" outlineLevel="1">
      <c r="A113" s="932"/>
      <c r="B113" s="1086"/>
      <c r="C113" s="1095"/>
      <c r="D113" s="1091"/>
      <c r="E113" s="1091"/>
      <c r="F113" s="1093"/>
      <c r="G113" s="98"/>
      <c r="H113" s="1091"/>
      <c r="I113" s="1091"/>
      <c r="J113" s="1084"/>
      <c r="K113" s="1084"/>
      <c r="L113" s="932"/>
      <c r="M113" s="932"/>
    </row>
    <row r="114" spans="1:13" s="106" customFormat="1" ht="15.75" hidden="1" customHeight="1" outlineLevel="1">
      <c r="A114" s="932"/>
      <c r="B114" s="1087"/>
      <c r="C114" s="1096"/>
      <c r="D114" s="1092"/>
      <c r="E114" s="1092"/>
      <c r="F114" s="1094"/>
      <c r="G114" s="103"/>
      <c r="H114" s="1092"/>
      <c r="I114" s="1092"/>
      <c r="J114" s="1085"/>
      <c r="K114" s="1085"/>
      <c r="L114" s="932"/>
      <c r="M114" s="932"/>
    </row>
    <row r="115" spans="1:13" s="106" customFormat="1" ht="15.75" hidden="1" customHeight="1" outlineLevel="1">
      <c r="A115" s="932"/>
      <c r="B115" s="1086">
        <v>35</v>
      </c>
      <c r="C115" s="1095"/>
      <c r="D115" s="1091"/>
      <c r="E115" s="1091" t="s">
        <v>20</v>
      </c>
      <c r="F115" s="1093" t="str">
        <f>VLOOKUP(E115,$N$13:$O$17,2,0)</f>
        <v>-</v>
      </c>
      <c r="G115" s="95"/>
      <c r="H115" s="1091"/>
      <c r="I115" s="1091"/>
      <c r="J115" s="1083"/>
      <c r="K115" s="1083"/>
      <c r="L115" s="932"/>
      <c r="M115" s="932"/>
    </row>
    <row r="116" spans="1:13" s="106" customFormat="1" ht="15.75" hidden="1" customHeight="1" outlineLevel="1">
      <c r="A116" s="932"/>
      <c r="B116" s="1086"/>
      <c r="C116" s="1095"/>
      <c r="D116" s="1091"/>
      <c r="E116" s="1091"/>
      <c r="F116" s="1093"/>
      <c r="G116" s="98"/>
      <c r="H116" s="1091"/>
      <c r="I116" s="1091"/>
      <c r="J116" s="1084"/>
      <c r="K116" s="1084"/>
      <c r="L116" s="932"/>
      <c r="M116" s="932"/>
    </row>
    <row r="117" spans="1:13" s="106" customFormat="1" ht="15.75" hidden="1" customHeight="1" outlineLevel="1">
      <c r="A117" s="932"/>
      <c r="B117" s="1087"/>
      <c r="C117" s="1096"/>
      <c r="D117" s="1092"/>
      <c r="E117" s="1092"/>
      <c r="F117" s="1094"/>
      <c r="G117" s="103"/>
      <c r="H117" s="1092"/>
      <c r="I117" s="1092"/>
      <c r="J117" s="1085"/>
      <c r="K117" s="1085"/>
      <c r="L117" s="932"/>
      <c r="M117" s="932"/>
    </row>
    <row r="118" spans="1:13" s="106" customFormat="1" ht="15.75" hidden="1" customHeight="1" outlineLevel="1">
      <c r="A118" s="932"/>
      <c r="B118" s="1086">
        <v>36</v>
      </c>
      <c r="C118" s="1095"/>
      <c r="D118" s="1091"/>
      <c r="E118" s="1091" t="s">
        <v>20</v>
      </c>
      <c r="F118" s="1093" t="str">
        <f>VLOOKUP(E118,$N$13:$O$17,2,0)</f>
        <v>-</v>
      </c>
      <c r="G118" s="95"/>
      <c r="H118" s="1091"/>
      <c r="I118" s="1091"/>
      <c r="J118" s="1083"/>
      <c r="K118" s="1083"/>
      <c r="L118" s="932"/>
      <c r="M118" s="932"/>
    </row>
    <row r="119" spans="1:13" s="106" customFormat="1" ht="15.75" hidden="1" customHeight="1" outlineLevel="1">
      <c r="A119" s="932"/>
      <c r="B119" s="1086"/>
      <c r="C119" s="1095"/>
      <c r="D119" s="1091"/>
      <c r="E119" s="1091"/>
      <c r="F119" s="1093"/>
      <c r="G119" s="98"/>
      <c r="H119" s="1091"/>
      <c r="I119" s="1091"/>
      <c r="J119" s="1084"/>
      <c r="K119" s="1084"/>
      <c r="L119" s="932"/>
      <c r="M119" s="932"/>
    </row>
    <row r="120" spans="1:13" s="106" customFormat="1" ht="15.75" hidden="1" customHeight="1" outlineLevel="1">
      <c r="A120" s="932"/>
      <c r="B120" s="1087"/>
      <c r="C120" s="1096"/>
      <c r="D120" s="1092"/>
      <c r="E120" s="1092"/>
      <c r="F120" s="1094"/>
      <c r="G120" s="103"/>
      <c r="H120" s="1092"/>
      <c r="I120" s="1092"/>
      <c r="J120" s="1085"/>
      <c r="K120" s="1085"/>
      <c r="L120" s="932"/>
      <c r="M120" s="932"/>
    </row>
    <row r="121" spans="1:13" s="106" customFormat="1" ht="15.75" hidden="1" customHeight="1" outlineLevel="1">
      <c r="A121" s="932"/>
      <c r="B121" s="1086">
        <v>37</v>
      </c>
      <c r="C121" s="1095"/>
      <c r="D121" s="1091"/>
      <c r="E121" s="1091" t="s">
        <v>20</v>
      </c>
      <c r="F121" s="1093" t="str">
        <f>VLOOKUP(E121,$N$13:$O$17,2,0)</f>
        <v>-</v>
      </c>
      <c r="G121" s="95"/>
      <c r="H121" s="1091"/>
      <c r="I121" s="1091"/>
      <c r="J121" s="1083"/>
      <c r="K121" s="1083"/>
      <c r="L121" s="932"/>
      <c r="M121" s="932"/>
    </row>
    <row r="122" spans="1:13" s="106" customFormat="1" ht="15.75" hidden="1" customHeight="1" outlineLevel="1">
      <c r="A122" s="932"/>
      <c r="B122" s="1086"/>
      <c r="C122" s="1095"/>
      <c r="D122" s="1091"/>
      <c r="E122" s="1091"/>
      <c r="F122" s="1093"/>
      <c r="G122" s="98"/>
      <c r="H122" s="1091"/>
      <c r="I122" s="1091"/>
      <c r="J122" s="1084"/>
      <c r="K122" s="1084"/>
      <c r="L122" s="932"/>
      <c r="M122" s="932"/>
    </row>
    <row r="123" spans="1:13" s="106" customFormat="1" ht="15.75" hidden="1" customHeight="1" outlineLevel="1">
      <c r="A123" s="932"/>
      <c r="B123" s="1087"/>
      <c r="C123" s="1096"/>
      <c r="D123" s="1092"/>
      <c r="E123" s="1092"/>
      <c r="F123" s="1094"/>
      <c r="G123" s="103"/>
      <c r="H123" s="1092"/>
      <c r="I123" s="1092"/>
      <c r="J123" s="1085"/>
      <c r="K123" s="1085"/>
      <c r="L123" s="932"/>
      <c r="M123" s="932"/>
    </row>
    <row r="124" spans="1:13" s="106" customFormat="1" ht="15.75" hidden="1" customHeight="1" outlineLevel="1">
      <c r="A124" s="932"/>
      <c r="B124" s="1086">
        <v>38</v>
      </c>
      <c r="C124" s="1095"/>
      <c r="D124" s="1091"/>
      <c r="E124" s="1091" t="s">
        <v>20</v>
      </c>
      <c r="F124" s="1093" t="str">
        <f>VLOOKUP(E124,$N$13:$O$17,2,0)</f>
        <v>-</v>
      </c>
      <c r="G124" s="95"/>
      <c r="H124" s="1091"/>
      <c r="I124" s="1091"/>
      <c r="J124" s="1083"/>
      <c r="K124" s="1083"/>
      <c r="L124" s="932"/>
      <c r="M124" s="932"/>
    </row>
    <row r="125" spans="1:13" s="106" customFormat="1" ht="15.75" hidden="1" customHeight="1" outlineLevel="1">
      <c r="A125" s="932"/>
      <c r="B125" s="1086"/>
      <c r="C125" s="1095"/>
      <c r="D125" s="1091"/>
      <c r="E125" s="1091"/>
      <c r="F125" s="1093"/>
      <c r="G125" s="98"/>
      <c r="H125" s="1091"/>
      <c r="I125" s="1091"/>
      <c r="J125" s="1084"/>
      <c r="K125" s="1084"/>
      <c r="L125" s="932"/>
      <c r="M125" s="932"/>
    </row>
    <row r="126" spans="1:13" s="106" customFormat="1" ht="15.75" hidden="1" customHeight="1" outlineLevel="1">
      <c r="A126" s="932"/>
      <c r="B126" s="1087"/>
      <c r="C126" s="1096"/>
      <c r="D126" s="1092"/>
      <c r="E126" s="1092"/>
      <c r="F126" s="1094"/>
      <c r="G126" s="103"/>
      <c r="H126" s="1092"/>
      <c r="I126" s="1092"/>
      <c r="J126" s="1085"/>
      <c r="K126" s="1085"/>
      <c r="L126" s="932"/>
      <c r="M126" s="932"/>
    </row>
    <row r="127" spans="1:13" s="106" customFormat="1" ht="15.75" hidden="1" customHeight="1" outlineLevel="1">
      <c r="A127" s="932"/>
      <c r="B127" s="1086">
        <v>39</v>
      </c>
      <c r="C127" s="1095"/>
      <c r="D127" s="1091"/>
      <c r="E127" s="1091" t="s">
        <v>20</v>
      </c>
      <c r="F127" s="1093" t="str">
        <f>VLOOKUP(E127,$N$13:$O$17,2,0)</f>
        <v>-</v>
      </c>
      <c r="G127" s="95"/>
      <c r="H127" s="1091"/>
      <c r="I127" s="1091"/>
      <c r="J127" s="1083"/>
      <c r="K127" s="1083"/>
      <c r="L127" s="932"/>
      <c r="M127" s="932"/>
    </row>
    <row r="128" spans="1:13" s="106" customFormat="1" ht="15.75" hidden="1" customHeight="1" outlineLevel="1">
      <c r="A128" s="932"/>
      <c r="B128" s="1086"/>
      <c r="C128" s="1095"/>
      <c r="D128" s="1091"/>
      <c r="E128" s="1091"/>
      <c r="F128" s="1093"/>
      <c r="G128" s="98"/>
      <c r="H128" s="1091"/>
      <c r="I128" s="1091"/>
      <c r="J128" s="1084"/>
      <c r="K128" s="1084"/>
      <c r="L128" s="932"/>
      <c r="M128" s="932"/>
    </row>
    <row r="129" spans="1:13" s="106" customFormat="1" ht="15.75" hidden="1" customHeight="1" outlineLevel="1">
      <c r="A129" s="932"/>
      <c r="B129" s="1087"/>
      <c r="C129" s="1096"/>
      <c r="D129" s="1092"/>
      <c r="E129" s="1092"/>
      <c r="F129" s="1094"/>
      <c r="G129" s="103"/>
      <c r="H129" s="1092"/>
      <c r="I129" s="1092"/>
      <c r="J129" s="1085"/>
      <c r="K129" s="1085"/>
      <c r="L129" s="932"/>
      <c r="M129" s="932"/>
    </row>
    <row r="130" spans="1:13" s="106" customFormat="1" ht="15.75" hidden="1" customHeight="1" outlineLevel="1">
      <c r="A130" s="932"/>
      <c r="B130" s="1086">
        <v>40</v>
      </c>
      <c r="C130" s="1095"/>
      <c r="D130" s="1091"/>
      <c r="E130" s="1091" t="s">
        <v>20</v>
      </c>
      <c r="F130" s="1093" t="str">
        <f>VLOOKUP(E130,$N$13:$O$17,2,0)</f>
        <v>-</v>
      </c>
      <c r="G130" s="95"/>
      <c r="H130" s="1091"/>
      <c r="I130" s="1091"/>
      <c r="J130" s="1083"/>
      <c r="K130" s="1083"/>
      <c r="L130" s="932"/>
      <c r="M130" s="932"/>
    </row>
    <row r="131" spans="1:13" s="106" customFormat="1" ht="15.75" hidden="1" customHeight="1" outlineLevel="1">
      <c r="A131" s="932"/>
      <c r="B131" s="1086"/>
      <c r="C131" s="1095"/>
      <c r="D131" s="1091"/>
      <c r="E131" s="1091"/>
      <c r="F131" s="1093"/>
      <c r="G131" s="98"/>
      <c r="H131" s="1091"/>
      <c r="I131" s="1091"/>
      <c r="J131" s="1084"/>
      <c r="K131" s="1084"/>
      <c r="L131" s="932"/>
      <c r="M131" s="932"/>
    </row>
    <row r="132" spans="1:13" s="106" customFormat="1" ht="15.75" hidden="1" customHeight="1" outlineLevel="1">
      <c r="A132" s="932"/>
      <c r="B132" s="1087"/>
      <c r="C132" s="1096"/>
      <c r="D132" s="1092"/>
      <c r="E132" s="1092"/>
      <c r="F132" s="1094"/>
      <c r="G132" s="103"/>
      <c r="H132" s="1092"/>
      <c r="I132" s="1092"/>
      <c r="J132" s="1085"/>
      <c r="K132" s="1085"/>
      <c r="L132" s="932"/>
      <c r="M132" s="932"/>
    </row>
    <row r="133" spans="1:13" s="106" customFormat="1" ht="15.75" hidden="1" customHeight="1" outlineLevel="1">
      <c r="A133" s="932"/>
      <c r="B133" s="1086">
        <v>41</v>
      </c>
      <c r="C133" s="1095"/>
      <c r="D133" s="1091"/>
      <c r="E133" s="1091" t="s">
        <v>20</v>
      </c>
      <c r="F133" s="1093" t="str">
        <f>VLOOKUP(E133,$N$13:$O$17,2,0)</f>
        <v>-</v>
      </c>
      <c r="G133" s="95"/>
      <c r="H133" s="1091"/>
      <c r="I133" s="1091"/>
      <c r="J133" s="1083"/>
      <c r="K133" s="1083"/>
      <c r="L133" s="932"/>
      <c r="M133" s="932"/>
    </row>
    <row r="134" spans="1:13" s="106" customFormat="1" ht="15.75" hidden="1" customHeight="1" outlineLevel="1">
      <c r="A134" s="932"/>
      <c r="B134" s="1086"/>
      <c r="C134" s="1095"/>
      <c r="D134" s="1091"/>
      <c r="E134" s="1091"/>
      <c r="F134" s="1093"/>
      <c r="G134" s="98"/>
      <c r="H134" s="1091"/>
      <c r="I134" s="1091"/>
      <c r="J134" s="1084"/>
      <c r="K134" s="1084"/>
      <c r="L134" s="932"/>
      <c r="M134" s="932"/>
    </row>
    <row r="135" spans="1:13" s="106" customFormat="1" ht="15.75" hidden="1" customHeight="1" outlineLevel="1">
      <c r="A135" s="932"/>
      <c r="B135" s="1087"/>
      <c r="C135" s="1096"/>
      <c r="D135" s="1092"/>
      <c r="E135" s="1092"/>
      <c r="F135" s="1094"/>
      <c r="G135" s="103"/>
      <c r="H135" s="1092"/>
      <c r="I135" s="1092"/>
      <c r="J135" s="1085"/>
      <c r="K135" s="1085"/>
      <c r="L135" s="932"/>
      <c r="M135" s="932"/>
    </row>
    <row r="136" spans="1:13" s="106" customFormat="1" ht="15.75" hidden="1" customHeight="1" outlineLevel="1">
      <c r="A136" s="932"/>
      <c r="B136" s="1086">
        <v>42</v>
      </c>
      <c r="C136" s="1095"/>
      <c r="D136" s="1091"/>
      <c r="E136" s="1091" t="s">
        <v>20</v>
      </c>
      <c r="F136" s="1093" t="str">
        <f>VLOOKUP(E136,$N$13:$O$17,2,0)</f>
        <v>-</v>
      </c>
      <c r="G136" s="95"/>
      <c r="H136" s="1091"/>
      <c r="I136" s="1091"/>
      <c r="J136" s="1083"/>
      <c r="K136" s="1083"/>
      <c r="L136" s="932"/>
      <c r="M136" s="932"/>
    </row>
    <row r="137" spans="1:13" s="106" customFormat="1" ht="15.75" hidden="1" customHeight="1" outlineLevel="1">
      <c r="A137" s="932"/>
      <c r="B137" s="1086"/>
      <c r="C137" s="1095"/>
      <c r="D137" s="1091"/>
      <c r="E137" s="1091"/>
      <c r="F137" s="1093"/>
      <c r="G137" s="98"/>
      <c r="H137" s="1091"/>
      <c r="I137" s="1091"/>
      <c r="J137" s="1084"/>
      <c r="K137" s="1084"/>
      <c r="L137" s="932"/>
      <c r="M137" s="932"/>
    </row>
    <row r="138" spans="1:13" s="106" customFormat="1" ht="15.75" hidden="1" customHeight="1" outlineLevel="1">
      <c r="A138" s="932"/>
      <c r="B138" s="1087"/>
      <c r="C138" s="1096"/>
      <c r="D138" s="1092"/>
      <c r="E138" s="1092"/>
      <c r="F138" s="1094"/>
      <c r="G138" s="103"/>
      <c r="H138" s="1092"/>
      <c r="I138" s="1092"/>
      <c r="J138" s="1085"/>
      <c r="K138" s="1085"/>
      <c r="L138" s="932"/>
      <c r="M138" s="932"/>
    </row>
    <row r="139" spans="1:13" s="106" customFormat="1" ht="15.75" hidden="1" customHeight="1" outlineLevel="1">
      <c r="A139" s="932"/>
      <c r="B139" s="1086">
        <v>43</v>
      </c>
      <c r="C139" s="1095"/>
      <c r="D139" s="1091"/>
      <c r="E139" s="1091" t="s">
        <v>20</v>
      </c>
      <c r="F139" s="1093" t="str">
        <f>VLOOKUP(E139,$N$13:$O$17,2,0)</f>
        <v>-</v>
      </c>
      <c r="G139" s="95"/>
      <c r="H139" s="1091"/>
      <c r="I139" s="1091"/>
      <c r="J139" s="1083"/>
      <c r="K139" s="1083"/>
      <c r="L139" s="932"/>
      <c r="M139" s="932"/>
    </row>
    <row r="140" spans="1:13" s="106" customFormat="1" ht="15.75" hidden="1" customHeight="1" outlineLevel="1">
      <c r="A140" s="932"/>
      <c r="B140" s="1086"/>
      <c r="C140" s="1095"/>
      <c r="D140" s="1091"/>
      <c r="E140" s="1091"/>
      <c r="F140" s="1093"/>
      <c r="G140" s="98"/>
      <c r="H140" s="1091"/>
      <c r="I140" s="1091"/>
      <c r="J140" s="1084"/>
      <c r="K140" s="1084"/>
      <c r="L140" s="932"/>
      <c r="M140" s="932"/>
    </row>
    <row r="141" spans="1:13" s="106" customFormat="1" ht="15.75" hidden="1" customHeight="1" outlineLevel="1">
      <c r="A141" s="932"/>
      <c r="B141" s="1087"/>
      <c r="C141" s="1096"/>
      <c r="D141" s="1092"/>
      <c r="E141" s="1092"/>
      <c r="F141" s="1094"/>
      <c r="G141" s="103"/>
      <c r="H141" s="1092"/>
      <c r="I141" s="1092"/>
      <c r="J141" s="1085"/>
      <c r="K141" s="1085"/>
      <c r="L141" s="932"/>
      <c r="M141" s="932"/>
    </row>
    <row r="142" spans="1:13" s="106" customFormat="1" ht="15.75" hidden="1" customHeight="1" outlineLevel="1">
      <c r="A142" s="932"/>
      <c r="B142" s="1086">
        <v>44</v>
      </c>
      <c r="C142" s="1095"/>
      <c r="D142" s="1091"/>
      <c r="E142" s="1091" t="s">
        <v>20</v>
      </c>
      <c r="F142" s="1093" t="str">
        <f>VLOOKUP(E142,$N$13:$O$17,2,0)</f>
        <v>-</v>
      </c>
      <c r="G142" s="95"/>
      <c r="H142" s="839"/>
      <c r="I142" s="1091"/>
      <c r="J142" s="1083"/>
      <c r="K142" s="1083"/>
      <c r="L142" s="932"/>
      <c r="M142" s="932"/>
    </row>
    <row r="143" spans="1:13" s="106" customFormat="1" ht="15.75" hidden="1" customHeight="1" outlineLevel="1">
      <c r="A143" s="932"/>
      <c r="B143" s="1086"/>
      <c r="C143" s="1095"/>
      <c r="D143" s="1091"/>
      <c r="E143" s="1091"/>
      <c r="F143" s="1093"/>
      <c r="G143" s="98"/>
      <c r="H143" s="839"/>
      <c r="I143" s="1091"/>
      <c r="J143" s="1084"/>
      <c r="K143" s="1084"/>
      <c r="L143" s="932"/>
      <c r="M143" s="932"/>
    </row>
    <row r="144" spans="1:13" s="106" customFormat="1" ht="15.75" hidden="1" customHeight="1" outlineLevel="1">
      <c r="A144" s="932"/>
      <c r="B144" s="1087"/>
      <c r="C144" s="1096"/>
      <c r="D144" s="1092"/>
      <c r="E144" s="1092"/>
      <c r="F144" s="1094"/>
      <c r="G144" s="103"/>
      <c r="H144" s="840"/>
      <c r="I144" s="1092"/>
      <c r="J144" s="1085"/>
      <c r="K144" s="1085"/>
      <c r="L144" s="932"/>
      <c r="M144" s="932"/>
    </row>
    <row r="145" spans="1:13" s="106" customFormat="1" ht="15.75" hidden="1" customHeight="1" outlineLevel="1">
      <c r="A145" s="932"/>
      <c r="B145" s="1086">
        <v>45</v>
      </c>
      <c r="C145" s="1095"/>
      <c r="D145" s="1091"/>
      <c r="E145" s="1091" t="s">
        <v>20</v>
      </c>
      <c r="F145" s="1093" t="str">
        <f>VLOOKUP(E145,$N$13:$O$17,2,0)</f>
        <v>-</v>
      </c>
      <c r="G145" s="95"/>
      <c r="H145" s="839"/>
      <c r="I145" s="1091"/>
      <c r="J145" s="1083"/>
      <c r="K145" s="1083"/>
      <c r="L145" s="932"/>
      <c r="M145" s="932"/>
    </row>
    <row r="146" spans="1:13" s="106" customFormat="1" ht="15.75" hidden="1" customHeight="1" outlineLevel="1">
      <c r="A146" s="932"/>
      <c r="B146" s="1086"/>
      <c r="C146" s="1095"/>
      <c r="D146" s="1091"/>
      <c r="E146" s="1091"/>
      <c r="F146" s="1093"/>
      <c r="G146" s="98"/>
      <c r="H146" s="839"/>
      <c r="I146" s="1091"/>
      <c r="J146" s="1084"/>
      <c r="K146" s="1084"/>
      <c r="L146" s="932"/>
      <c r="M146" s="932"/>
    </row>
    <row r="147" spans="1:13" s="106" customFormat="1" ht="15.75" hidden="1" customHeight="1" outlineLevel="1">
      <c r="A147" s="932"/>
      <c r="B147" s="1087"/>
      <c r="C147" s="1096"/>
      <c r="D147" s="1092"/>
      <c r="E147" s="1092"/>
      <c r="F147" s="1094"/>
      <c r="G147" s="103"/>
      <c r="H147" s="840"/>
      <c r="I147" s="1092"/>
      <c r="J147" s="1085"/>
      <c r="K147" s="1085"/>
      <c r="L147" s="932"/>
      <c r="M147" s="932"/>
    </row>
    <row r="148" spans="1:13" s="106" customFormat="1" ht="15.75" hidden="1" customHeight="1" outlineLevel="1">
      <c r="A148" s="932"/>
      <c r="B148" s="1086">
        <v>46</v>
      </c>
      <c r="C148" s="1095"/>
      <c r="D148" s="1091"/>
      <c r="E148" s="1091" t="s">
        <v>20</v>
      </c>
      <c r="F148" s="1093" t="str">
        <f>VLOOKUP(E148,$N$13:$O$17,2,0)</f>
        <v>-</v>
      </c>
      <c r="G148" s="95"/>
      <c r="H148" s="839"/>
      <c r="I148" s="1091"/>
      <c r="J148" s="1083"/>
      <c r="K148" s="1083"/>
      <c r="L148" s="932"/>
      <c r="M148" s="932"/>
    </row>
    <row r="149" spans="1:13" s="106" customFormat="1" ht="15.75" hidden="1" customHeight="1" outlineLevel="1">
      <c r="A149" s="932"/>
      <c r="B149" s="1086"/>
      <c r="C149" s="1095"/>
      <c r="D149" s="1091"/>
      <c r="E149" s="1091"/>
      <c r="F149" s="1093"/>
      <c r="G149" s="98"/>
      <c r="H149" s="839"/>
      <c r="I149" s="1091"/>
      <c r="J149" s="1084"/>
      <c r="K149" s="1084"/>
      <c r="L149" s="932"/>
      <c r="M149" s="932"/>
    </row>
    <row r="150" spans="1:13" s="106" customFormat="1" ht="15.75" hidden="1" customHeight="1" outlineLevel="1">
      <c r="A150" s="932"/>
      <c r="B150" s="1087"/>
      <c r="C150" s="1096"/>
      <c r="D150" s="1092"/>
      <c r="E150" s="1092"/>
      <c r="F150" s="1094"/>
      <c r="G150" s="103"/>
      <c r="H150" s="840"/>
      <c r="I150" s="1092"/>
      <c r="J150" s="1085"/>
      <c r="K150" s="1085"/>
      <c r="L150" s="932"/>
      <c r="M150" s="932"/>
    </row>
    <row r="151" spans="1:13" s="106" customFormat="1" ht="15.75" hidden="1" customHeight="1" outlineLevel="1">
      <c r="A151" s="932"/>
      <c r="B151" s="1086">
        <v>47</v>
      </c>
      <c r="C151" s="1095"/>
      <c r="D151" s="1091"/>
      <c r="E151" s="1091" t="s">
        <v>20</v>
      </c>
      <c r="F151" s="1093" t="str">
        <f>VLOOKUP(E151,$N$13:$O$17,2,0)</f>
        <v>-</v>
      </c>
      <c r="G151" s="95"/>
      <c r="H151" s="839"/>
      <c r="I151" s="1091"/>
      <c r="J151" s="1083"/>
      <c r="K151" s="1083"/>
      <c r="L151" s="932"/>
      <c r="M151" s="932"/>
    </row>
    <row r="152" spans="1:13" s="106" customFormat="1" ht="15.75" hidden="1" customHeight="1" outlineLevel="1">
      <c r="A152" s="932"/>
      <c r="B152" s="1086"/>
      <c r="C152" s="1095"/>
      <c r="D152" s="1091"/>
      <c r="E152" s="1091"/>
      <c r="F152" s="1093"/>
      <c r="G152" s="98"/>
      <c r="H152" s="839"/>
      <c r="I152" s="1091"/>
      <c r="J152" s="1084"/>
      <c r="K152" s="1084"/>
      <c r="L152" s="932"/>
      <c r="M152" s="932"/>
    </row>
    <row r="153" spans="1:13" s="106" customFormat="1" ht="15.75" hidden="1" customHeight="1" outlineLevel="1">
      <c r="A153" s="932"/>
      <c r="B153" s="1087"/>
      <c r="C153" s="1096"/>
      <c r="D153" s="1092"/>
      <c r="E153" s="1092"/>
      <c r="F153" s="1094"/>
      <c r="G153" s="103"/>
      <c r="H153" s="840"/>
      <c r="I153" s="1092"/>
      <c r="J153" s="1085"/>
      <c r="K153" s="1085"/>
      <c r="L153" s="932"/>
      <c r="M153" s="932"/>
    </row>
    <row r="154" spans="1:13" s="106" customFormat="1" ht="15.75" hidden="1" customHeight="1" outlineLevel="1">
      <c r="A154" s="932"/>
      <c r="B154" s="1086">
        <v>48</v>
      </c>
      <c r="C154" s="1095"/>
      <c r="D154" s="1091"/>
      <c r="E154" s="1091" t="s">
        <v>20</v>
      </c>
      <c r="F154" s="1093" t="str">
        <f>VLOOKUP(E154,$N$13:$O$17,2,0)</f>
        <v>-</v>
      </c>
      <c r="G154" s="95"/>
      <c r="H154" s="839"/>
      <c r="I154" s="1091"/>
      <c r="J154" s="1083"/>
      <c r="K154" s="1083"/>
      <c r="L154" s="932"/>
      <c r="M154" s="932"/>
    </row>
    <row r="155" spans="1:13" s="106" customFormat="1" ht="15.75" hidden="1" customHeight="1" outlineLevel="1">
      <c r="A155" s="932"/>
      <c r="B155" s="1086"/>
      <c r="C155" s="1095"/>
      <c r="D155" s="1091"/>
      <c r="E155" s="1091"/>
      <c r="F155" s="1093"/>
      <c r="G155" s="98"/>
      <c r="H155" s="839"/>
      <c r="I155" s="1091"/>
      <c r="J155" s="1084"/>
      <c r="K155" s="1084"/>
      <c r="L155" s="932"/>
      <c r="M155" s="932"/>
    </row>
    <row r="156" spans="1:13" s="106" customFormat="1" ht="15.75" hidden="1" customHeight="1" outlineLevel="1">
      <c r="A156" s="932"/>
      <c r="B156" s="1087"/>
      <c r="C156" s="1096"/>
      <c r="D156" s="1092"/>
      <c r="E156" s="1092"/>
      <c r="F156" s="1094"/>
      <c r="G156" s="103"/>
      <c r="H156" s="840"/>
      <c r="I156" s="1092"/>
      <c r="J156" s="1085"/>
      <c r="K156" s="1085"/>
      <c r="L156" s="932"/>
      <c r="M156" s="932"/>
    </row>
    <row r="157" spans="1:13" s="106" customFormat="1" ht="15.75" hidden="1" customHeight="1" outlineLevel="1">
      <c r="A157" s="932"/>
      <c r="B157" s="1086">
        <v>49</v>
      </c>
      <c r="C157" s="1095"/>
      <c r="D157" s="1091"/>
      <c r="E157" s="1091" t="s">
        <v>20</v>
      </c>
      <c r="F157" s="1093" t="str">
        <f>VLOOKUP(E157,$N$13:$O$17,2,0)</f>
        <v>-</v>
      </c>
      <c r="G157" s="95"/>
      <c r="H157" s="839"/>
      <c r="I157" s="1091"/>
      <c r="J157" s="1083"/>
      <c r="K157" s="1083"/>
      <c r="L157" s="932"/>
      <c r="M157" s="932"/>
    </row>
    <row r="158" spans="1:13" s="106" customFormat="1" ht="15.75" hidden="1" customHeight="1" outlineLevel="1">
      <c r="A158" s="932"/>
      <c r="B158" s="1086"/>
      <c r="C158" s="1095"/>
      <c r="D158" s="1091"/>
      <c r="E158" s="1091"/>
      <c r="F158" s="1093"/>
      <c r="G158" s="98"/>
      <c r="H158" s="839"/>
      <c r="I158" s="1091"/>
      <c r="J158" s="1084"/>
      <c r="K158" s="1084"/>
      <c r="L158" s="932"/>
      <c r="M158" s="932"/>
    </row>
    <row r="159" spans="1:13" s="106" customFormat="1" ht="15.75" hidden="1" customHeight="1" outlineLevel="1">
      <c r="A159" s="932"/>
      <c r="B159" s="1087"/>
      <c r="C159" s="1096"/>
      <c r="D159" s="1092"/>
      <c r="E159" s="1092"/>
      <c r="F159" s="1094"/>
      <c r="G159" s="103"/>
      <c r="H159" s="840"/>
      <c r="I159" s="1092"/>
      <c r="J159" s="1085"/>
      <c r="K159" s="1085"/>
      <c r="L159" s="932"/>
      <c r="M159" s="932"/>
    </row>
    <row r="160" spans="1:13" s="106" customFormat="1" ht="15.75" hidden="1" customHeight="1" outlineLevel="1">
      <c r="A160" s="932"/>
      <c r="B160" s="1086">
        <v>50</v>
      </c>
      <c r="C160" s="1095"/>
      <c r="D160" s="1091"/>
      <c r="E160" s="1091" t="s">
        <v>20</v>
      </c>
      <c r="F160" s="1093" t="str">
        <f>VLOOKUP(E160,$N$13:$O$17,2,0)</f>
        <v>-</v>
      </c>
      <c r="G160" s="95"/>
      <c r="H160" s="839"/>
      <c r="I160" s="1091"/>
      <c r="J160" s="1083"/>
      <c r="K160" s="1083"/>
      <c r="L160" s="932"/>
      <c r="M160" s="932"/>
    </row>
    <row r="161" spans="1:13" s="106" customFormat="1" ht="15.75" hidden="1" customHeight="1" outlineLevel="1">
      <c r="A161" s="932"/>
      <c r="B161" s="1086"/>
      <c r="C161" s="1095"/>
      <c r="D161" s="1091"/>
      <c r="E161" s="1091"/>
      <c r="F161" s="1093"/>
      <c r="G161" s="98"/>
      <c r="H161" s="839"/>
      <c r="I161" s="1091"/>
      <c r="J161" s="1084"/>
      <c r="K161" s="1084"/>
      <c r="L161" s="932"/>
      <c r="M161" s="932"/>
    </row>
    <row r="162" spans="1:13" s="106" customFormat="1" ht="15.75" hidden="1" customHeight="1" outlineLevel="1">
      <c r="A162" s="932"/>
      <c r="B162" s="1087"/>
      <c r="C162" s="1096"/>
      <c r="D162" s="1092"/>
      <c r="E162" s="1092"/>
      <c r="F162" s="1094"/>
      <c r="G162" s="103"/>
      <c r="H162" s="840"/>
      <c r="I162" s="1092"/>
      <c r="J162" s="1085"/>
      <c r="K162" s="1085"/>
      <c r="L162" s="932"/>
      <c r="M162" s="932"/>
    </row>
    <row r="163" spans="1:13" s="106" customFormat="1" ht="15.75" hidden="1" customHeight="1" outlineLevel="1">
      <c r="A163" s="932"/>
      <c r="B163" s="1086">
        <v>51</v>
      </c>
      <c r="C163" s="1095"/>
      <c r="D163" s="1091"/>
      <c r="E163" s="1091" t="s">
        <v>20</v>
      </c>
      <c r="F163" s="1093" t="str">
        <f>VLOOKUP(E163,$N$13:$O$17,2,0)</f>
        <v>-</v>
      </c>
      <c r="G163" s="95"/>
      <c r="H163" s="839"/>
      <c r="I163" s="1091"/>
      <c r="J163" s="1083"/>
      <c r="K163" s="1083"/>
      <c r="L163" s="932"/>
      <c r="M163" s="932"/>
    </row>
    <row r="164" spans="1:13" s="106" customFormat="1" ht="15.75" hidden="1" customHeight="1" outlineLevel="1">
      <c r="A164" s="932"/>
      <c r="B164" s="1086"/>
      <c r="C164" s="1095"/>
      <c r="D164" s="1091"/>
      <c r="E164" s="1091"/>
      <c r="F164" s="1093"/>
      <c r="G164" s="98"/>
      <c r="H164" s="839"/>
      <c r="I164" s="1091"/>
      <c r="J164" s="1084"/>
      <c r="K164" s="1084"/>
      <c r="L164" s="932"/>
      <c r="M164" s="932"/>
    </row>
    <row r="165" spans="1:13" s="106" customFormat="1" ht="15.75" hidden="1" customHeight="1" outlineLevel="1">
      <c r="A165" s="932"/>
      <c r="B165" s="1087"/>
      <c r="C165" s="1096"/>
      <c r="D165" s="1092"/>
      <c r="E165" s="1092"/>
      <c r="F165" s="1094"/>
      <c r="G165" s="103"/>
      <c r="H165" s="840"/>
      <c r="I165" s="1092"/>
      <c r="J165" s="1085"/>
      <c r="K165" s="1085"/>
      <c r="L165" s="932"/>
      <c r="M165" s="932"/>
    </row>
    <row r="166" spans="1:13" s="106" customFormat="1" ht="15.75" hidden="1" customHeight="1" outlineLevel="1">
      <c r="A166" s="932"/>
      <c r="B166" s="1086">
        <v>52</v>
      </c>
      <c r="C166" s="1095"/>
      <c r="D166" s="1091"/>
      <c r="E166" s="1091" t="s">
        <v>20</v>
      </c>
      <c r="F166" s="1093" t="str">
        <f>VLOOKUP(E166,$N$13:$O$17,2,0)</f>
        <v>-</v>
      </c>
      <c r="G166" s="95"/>
      <c r="H166" s="839"/>
      <c r="I166" s="1091"/>
      <c r="J166" s="1083"/>
      <c r="K166" s="1083"/>
      <c r="L166" s="932"/>
      <c r="M166" s="932"/>
    </row>
    <row r="167" spans="1:13" s="106" customFormat="1" ht="15.75" hidden="1" customHeight="1" outlineLevel="1">
      <c r="A167" s="932"/>
      <c r="B167" s="1086"/>
      <c r="C167" s="1095"/>
      <c r="D167" s="1091"/>
      <c r="E167" s="1091"/>
      <c r="F167" s="1093"/>
      <c r="G167" s="98"/>
      <c r="H167" s="839"/>
      <c r="I167" s="1091"/>
      <c r="J167" s="1084"/>
      <c r="K167" s="1084"/>
      <c r="L167" s="932"/>
      <c r="M167" s="932"/>
    </row>
    <row r="168" spans="1:13" s="106" customFormat="1" ht="15.75" hidden="1" customHeight="1" outlineLevel="1">
      <c r="A168" s="932"/>
      <c r="B168" s="1087"/>
      <c r="C168" s="1096"/>
      <c r="D168" s="1092"/>
      <c r="E168" s="1092"/>
      <c r="F168" s="1094"/>
      <c r="G168" s="103"/>
      <c r="H168" s="840"/>
      <c r="I168" s="1092"/>
      <c r="J168" s="1085"/>
      <c r="K168" s="1085"/>
      <c r="L168" s="932"/>
      <c r="M168" s="932"/>
    </row>
    <row r="169" spans="1:13" s="106" customFormat="1" ht="15.75" hidden="1" customHeight="1" outlineLevel="1">
      <c r="A169" s="932"/>
      <c r="B169" s="1086">
        <v>53</v>
      </c>
      <c r="C169" s="1095"/>
      <c r="D169" s="1091"/>
      <c r="E169" s="1091" t="s">
        <v>20</v>
      </c>
      <c r="F169" s="1093" t="str">
        <f>VLOOKUP(E169,$N$13:$O$17,2,0)</f>
        <v>-</v>
      </c>
      <c r="G169" s="95"/>
      <c r="H169" s="839"/>
      <c r="I169" s="1091"/>
      <c r="J169" s="1083"/>
      <c r="K169" s="1083"/>
      <c r="L169" s="932"/>
      <c r="M169" s="932"/>
    </row>
    <row r="170" spans="1:13" s="106" customFormat="1" ht="15.75" hidden="1" customHeight="1" outlineLevel="1">
      <c r="A170" s="932"/>
      <c r="B170" s="1086"/>
      <c r="C170" s="1095"/>
      <c r="D170" s="1091"/>
      <c r="E170" s="1091"/>
      <c r="F170" s="1093"/>
      <c r="G170" s="98"/>
      <c r="H170" s="839"/>
      <c r="I170" s="1091"/>
      <c r="J170" s="1084"/>
      <c r="K170" s="1084"/>
      <c r="L170" s="932"/>
      <c r="M170" s="932"/>
    </row>
    <row r="171" spans="1:13" s="106" customFormat="1" ht="15.75" hidden="1" customHeight="1" outlineLevel="1">
      <c r="A171" s="932"/>
      <c r="B171" s="1087"/>
      <c r="C171" s="1096"/>
      <c r="D171" s="1092"/>
      <c r="E171" s="1092"/>
      <c r="F171" s="1094"/>
      <c r="G171" s="103"/>
      <c r="H171" s="840"/>
      <c r="I171" s="1092"/>
      <c r="J171" s="1085"/>
      <c r="K171" s="1085"/>
      <c r="L171" s="932"/>
      <c r="M171" s="932"/>
    </row>
    <row r="172" spans="1:13" s="106" customFormat="1" ht="15.75" hidden="1" customHeight="1" outlineLevel="1">
      <c r="A172" s="932"/>
      <c r="B172" s="1086">
        <v>54</v>
      </c>
      <c r="C172" s="1095"/>
      <c r="D172" s="1091"/>
      <c r="E172" s="1091" t="s">
        <v>20</v>
      </c>
      <c r="F172" s="1093" t="str">
        <f>VLOOKUP(E172,$N$13:$O$17,2,0)</f>
        <v>-</v>
      </c>
      <c r="G172" s="95"/>
      <c r="H172" s="839"/>
      <c r="I172" s="1091"/>
      <c r="J172" s="1083"/>
      <c r="K172" s="1083"/>
      <c r="L172" s="932"/>
      <c r="M172" s="932"/>
    </row>
    <row r="173" spans="1:13" s="106" customFormat="1" ht="15.75" hidden="1" customHeight="1" outlineLevel="1">
      <c r="A173" s="932"/>
      <c r="B173" s="1086"/>
      <c r="C173" s="1095"/>
      <c r="D173" s="1091"/>
      <c r="E173" s="1091"/>
      <c r="F173" s="1093"/>
      <c r="G173" s="98"/>
      <c r="H173" s="839"/>
      <c r="I173" s="1091"/>
      <c r="J173" s="1084"/>
      <c r="K173" s="1084"/>
      <c r="L173" s="932"/>
      <c r="M173" s="932"/>
    </row>
    <row r="174" spans="1:13" s="106" customFormat="1" ht="15.75" hidden="1" customHeight="1" outlineLevel="1">
      <c r="A174" s="932"/>
      <c r="B174" s="1087"/>
      <c r="C174" s="1096"/>
      <c r="D174" s="1092"/>
      <c r="E174" s="1092"/>
      <c r="F174" s="1094"/>
      <c r="G174" s="103"/>
      <c r="H174" s="840"/>
      <c r="I174" s="1092"/>
      <c r="J174" s="1085"/>
      <c r="K174" s="1085"/>
      <c r="L174" s="932"/>
      <c r="M174" s="932"/>
    </row>
    <row r="175" spans="1:13" s="106" customFormat="1" ht="15.75" hidden="1" customHeight="1" outlineLevel="1">
      <c r="A175" s="932"/>
      <c r="B175" s="1086">
        <v>55</v>
      </c>
      <c r="C175" s="1095"/>
      <c r="D175" s="1091"/>
      <c r="E175" s="1091" t="s">
        <v>20</v>
      </c>
      <c r="F175" s="1093" t="str">
        <f>VLOOKUP(E175,$N$13:$O$17,2,0)</f>
        <v>-</v>
      </c>
      <c r="G175" s="95"/>
      <c r="H175" s="839"/>
      <c r="I175" s="1091"/>
      <c r="J175" s="1083"/>
      <c r="K175" s="1083"/>
      <c r="L175" s="932"/>
      <c r="M175" s="932"/>
    </row>
    <row r="176" spans="1:13" s="106" customFormat="1" ht="15.75" hidden="1" customHeight="1" outlineLevel="1">
      <c r="A176" s="932"/>
      <c r="B176" s="1086"/>
      <c r="C176" s="1095"/>
      <c r="D176" s="1091"/>
      <c r="E176" s="1091"/>
      <c r="F176" s="1093"/>
      <c r="G176" s="98"/>
      <c r="H176" s="839"/>
      <c r="I176" s="1091"/>
      <c r="J176" s="1084"/>
      <c r="K176" s="1084"/>
      <c r="L176" s="932"/>
      <c r="M176" s="932"/>
    </row>
    <row r="177" spans="1:13" s="106" customFormat="1" ht="15.75" hidden="1" customHeight="1" outlineLevel="1">
      <c r="A177" s="932"/>
      <c r="B177" s="1087"/>
      <c r="C177" s="1096"/>
      <c r="D177" s="1092"/>
      <c r="E177" s="1092"/>
      <c r="F177" s="1094"/>
      <c r="G177" s="103"/>
      <c r="H177" s="840"/>
      <c r="I177" s="1092"/>
      <c r="J177" s="1085"/>
      <c r="K177" s="1085"/>
      <c r="L177" s="932"/>
      <c r="M177" s="932"/>
    </row>
    <row r="178" spans="1:13" s="106" customFormat="1" ht="15.75" hidden="1" customHeight="1" outlineLevel="1">
      <c r="A178" s="932"/>
      <c r="B178" s="1086">
        <v>56</v>
      </c>
      <c r="C178" s="1095"/>
      <c r="D178" s="1091"/>
      <c r="E178" s="1091" t="s">
        <v>20</v>
      </c>
      <c r="F178" s="1093" t="str">
        <f>VLOOKUP(E178,$N$13:$O$17,2,0)</f>
        <v>-</v>
      </c>
      <c r="G178" s="95"/>
      <c r="H178" s="839"/>
      <c r="I178" s="1091"/>
      <c r="J178" s="1083"/>
      <c r="K178" s="1083"/>
      <c r="L178" s="932"/>
      <c r="M178" s="932"/>
    </row>
    <row r="179" spans="1:13" s="106" customFormat="1" ht="15.75" hidden="1" customHeight="1" outlineLevel="1">
      <c r="A179" s="932"/>
      <c r="B179" s="1086"/>
      <c r="C179" s="1095"/>
      <c r="D179" s="1091"/>
      <c r="E179" s="1091"/>
      <c r="F179" s="1093"/>
      <c r="G179" s="98"/>
      <c r="H179" s="839"/>
      <c r="I179" s="1091"/>
      <c r="J179" s="1084"/>
      <c r="K179" s="1084"/>
      <c r="L179" s="932"/>
      <c r="M179" s="932"/>
    </row>
    <row r="180" spans="1:13" s="106" customFormat="1" ht="15.75" hidden="1" customHeight="1" outlineLevel="1">
      <c r="A180" s="932"/>
      <c r="B180" s="1087"/>
      <c r="C180" s="1096"/>
      <c r="D180" s="1092"/>
      <c r="E180" s="1092"/>
      <c r="F180" s="1094"/>
      <c r="G180" s="103"/>
      <c r="H180" s="840"/>
      <c r="I180" s="1092"/>
      <c r="J180" s="1085"/>
      <c r="K180" s="1085"/>
      <c r="L180" s="932"/>
      <c r="M180" s="932"/>
    </row>
    <row r="181" spans="1:13" s="106" customFormat="1" ht="15.75" hidden="1" customHeight="1" outlineLevel="1">
      <c r="A181" s="932"/>
      <c r="B181" s="1086">
        <v>57</v>
      </c>
      <c r="C181" s="1095"/>
      <c r="D181" s="1091"/>
      <c r="E181" s="1091" t="s">
        <v>20</v>
      </c>
      <c r="F181" s="1093" t="str">
        <f>VLOOKUP(E181,$N$13:$O$17,2,0)</f>
        <v>-</v>
      </c>
      <c r="G181" s="95"/>
      <c r="H181" s="839"/>
      <c r="I181" s="1091"/>
      <c r="J181" s="1083"/>
      <c r="K181" s="1083"/>
      <c r="L181" s="932"/>
      <c r="M181" s="932"/>
    </row>
    <row r="182" spans="1:13" s="106" customFormat="1" ht="15.75" hidden="1" customHeight="1" outlineLevel="1">
      <c r="A182" s="932"/>
      <c r="B182" s="1086"/>
      <c r="C182" s="1095"/>
      <c r="D182" s="1091"/>
      <c r="E182" s="1091"/>
      <c r="F182" s="1093"/>
      <c r="G182" s="98"/>
      <c r="H182" s="839"/>
      <c r="I182" s="1091"/>
      <c r="J182" s="1084"/>
      <c r="K182" s="1084"/>
      <c r="L182" s="932"/>
      <c r="M182" s="932"/>
    </row>
    <row r="183" spans="1:13" s="106" customFormat="1" ht="15.75" hidden="1" customHeight="1" outlineLevel="1">
      <c r="A183" s="932"/>
      <c r="B183" s="1087"/>
      <c r="C183" s="1096"/>
      <c r="D183" s="1092"/>
      <c r="E183" s="1092"/>
      <c r="F183" s="1094"/>
      <c r="G183" s="103"/>
      <c r="H183" s="840"/>
      <c r="I183" s="1092"/>
      <c r="J183" s="1085"/>
      <c r="K183" s="1085"/>
      <c r="L183" s="932"/>
      <c r="M183" s="932"/>
    </row>
    <row r="184" spans="1:13" s="106" customFormat="1" ht="15.75" hidden="1" customHeight="1" outlineLevel="1">
      <c r="A184" s="932"/>
      <c r="B184" s="1086">
        <v>58</v>
      </c>
      <c r="C184" s="1095"/>
      <c r="D184" s="1091"/>
      <c r="E184" s="1091" t="s">
        <v>20</v>
      </c>
      <c r="F184" s="1093" t="str">
        <f>VLOOKUP(E184,$N$13:$O$17,2,0)</f>
        <v>-</v>
      </c>
      <c r="G184" s="95"/>
      <c r="H184" s="839"/>
      <c r="I184" s="1091"/>
      <c r="J184" s="1083"/>
      <c r="K184" s="1083"/>
      <c r="L184" s="932"/>
      <c r="M184" s="932"/>
    </row>
    <row r="185" spans="1:13" s="106" customFormat="1" ht="15.75" hidden="1" customHeight="1" outlineLevel="1">
      <c r="A185" s="932"/>
      <c r="B185" s="1086"/>
      <c r="C185" s="1095"/>
      <c r="D185" s="1091"/>
      <c r="E185" s="1091"/>
      <c r="F185" s="1093"/>
      <c r="G185" s="98"/>
      <c r="H185" s="839"/>
      <c r="I185" s="1091"/>
      <c r="J185" s="1084"/>
      <c r="K185" s="1084"/>
      <c r="L185" s="932"/>
      <c r="M185" s="932"/>
    </row>
    <row r="186" spans="1:13" s="106" customFormat="1" ht="15.75" hidden="1" customHeight="1" outlineLevel="1">
      <c r="A186" s="932"/>
      <c r="B186" s="1087"/>
      <c r="C186" s="1096"/>
      <c r="D186" s="1092"/>
      <c r="E186" s="1092"/>
      <c r="F186" s="1094"/>
      <c r="G186" s="103"/>
      <c r="H186" s="840"/>
      <c r="I186" s="1092"/>
      <c r="J186" s="1085"/>
      <c r="K186" s="1085"/>
      <c r="L186" s="932"/>
      <c r="M186" s="932"/>
    </row>
    <row r="187" spans="1:13" s="106" customFormat="1" ht="15.75" hidden="1" customHeight="1" outlineLevel="1">
      <c r="A187" s="932"/>
      <c r="B187" s="1086">
        <v>59</v>
      </c>
      <c r="C187" s="1095"/>
      <c r="D187" s="1091"/>
      <c r="E187" s="1091" t="s">
        <v>20</v>
      </c>
      <c r="F187" s="1093" t="str">
        <f>VLOOKUP(E187,$N$13:$O$17,2,0)</f>
        <v>-</v>
      </c>
      <c r="G187" s="95"/>
      <c r="H187" s="839"/>
      <c r="I187" s="1091"/>
      <c r="J187" s="1083"/>
      <c r="K187" s="1083"/>
      <c r="L187" s="932"/>
      <c r="M187" s="932"/>
    </row>
    <row r="188" spans="1:13" s="106" customFormat="1" ht="15.75" hidden="1" customHeight="1" outlineLevel="1">
      <c r="A188" s="932"/>
      <c r="B188" s="1086"/>
      <c r="C188" s="1095"/>
      <c r="D188" s="1091"/>
      <c r="E188" s="1091"/>
      <c r="F188" s="1093"/>
      <c r="G188" s="98"/>
      <c r="H188" s="839"/>
      <c r="I188" s="1091"/>
      <c r="J188" s="1084"/>
      <c r="K188" s="1084"/>
      <c r="L188" s="932"/>
      <c r="M188" s="932"/>
    </row>
    <row r="189" spans="1:13" s="106" customFormat="1" ht="15.75" hidden="1" customHeight="1" outlineLevel="1">
      <c r="A189" s="932"/>
      <c r="B189" s="1087"/>
      <c r="C189" s="1096"/>
      <c r="D189" s="1092"/>
      <c r="E189" s="1092"/>
      <c r="F189" s="1094"/>
      <c r="G189" s="103"/>
      <c r="H189" s="840"/>
      <c r="I189" s="1092"/>
      <c r="J189" s="1085"/>
      <c r="K189" s="1085"/>
      <c r="L189" s="932"/>
      <c r="M189" s="932"/>
    </row>
    <row r="190" spans="1:13" s="106" customFormat="1" ht="15.75" hidden="1" customHeight="1" outlineLevel="1">
      <c r="A190" s="932"/>
      <c r="B190" s="1086">
        <v>60</v>
      </c>
      <c r="C190" s="1095"/>
      <c r="D190" s="1091"/>
      <c r="E190" s="1091" t="s">
        <v>20</v>
      </c>
      <c r="F190" s="1093" t="str">
        <f>VLOOKUP(E190,$N$13:$O$17,2,0)</f>
        <v>-</v>
      </c>
      <c r="G190" s="95"/>
      <c r="H190" s="839"/>
      <c r="I190" s="1091"/>
      <c r="J190" s="1083"/>
      <c r="K190" s="1083"/>
      <c r="L190" s="932"/>
      <c r="M190" s="932"/>
    </row>
    <row r="191" spans="1:13" s="106" customFormat="1" ht="15.75" hidden="1" customHeight="1" outlineLevel="1">
      <c r="A191" s="932"/>
      <c r="B191" s="1086"/>
      <c r="C191" s="1095"/>
      <c r="D191" s="1091"/>
      <c r="E191" s="1091"/>
      <c r="F191" s="1093"/>
      <c r="G191" s="98"/>
      <c r="H191" s="839"/>
      <c r="I191" s="1091"/>
      <c r="J191" s="1084"/>
      <c r="K191" s="1084"/>
      <c r="L191" s="932"/>
      <c r="M191" s="932"/>
    </row>
    <row r="192" spans="1:13" s="106" customFormat="1" ht="15.75" hidden="1" customHeight="1" outlineLevel="1">
      <c r="A192" s="932"/>
      <c r="B192" s="1087"/>
      <c r="C192" s="1096"/>
      <c r="D192" s="1092"/>
      <c r="E192" s="1092"/>
      <c r="F192" s="1094"/>
      <c r="G192" s="103"/>
      <c r="H192" s="840"/>
      <c r="I192" s="1092"/>
      <c r="J192" s="1085"/>
      <c r="K192" s="1085"/>
      <c r="L192" s="932"/>
      <c r="M192" s="932"/>
    </row>
    <row r="193" spans="1:13" s="106" customFormat="1" ht="15.75" hidden="1" customHeight="1" outlineLevel="1">
      <c r="A193" s="932"/>
      <c r="B193" s="1086">
        <v>61</v>
      </c>
      <c r="C193" s="1095"/>
      <c r="D193" s="1091"/>
      <c r="E193" s="1091" t="s">
        <v>20</v>
      </c>
      <c r="F193" s="1093" t="str">
        <f>VLOOKUP(E193,$N$13:$O$17,2,0)</f>
        <v>-</v>
      </c>
      <c r="G193" s="95"/>
      <c r="H193" s="839"/>
      <c r="I193" s="1091"/>
      <c r="J193" s="1083"/>
      <c r="K193" s="1083"/>
      <c r="L193" s="932"/>
      <c r="M193" s="932"/>
    </row>
    <row r="194" spans="1:13" s="106" customFormat="1" ht="15.75" hidden="1" customHeight="1" outlineLevel="1">
      <c r="A194" s="932"/>
      <c r="B194" s="1086"/>
      <c r="C194" s="1095"/>
      <c r="D194" s="1091"/>
      <c r="E194" s="1091"/>
      <c r="F194" s="1093"/>
      <c r="G194" s="98"/>
      <c r="H194" s="839"/>
      <c r="I194" s="1091"/>
      <c r="J194" s="1084"/>
      <c r="K194" s="1084"/>
      <c r="L194" s="932"/>
      <c r="M194" s="932"/>
    </row>
    <row r="195" spans="1:13" s="106" customFormat="1" ht="15.75" hidden="1" customHeight="1" outlineLevel="1">
      <c r="A195" s="932"/>
      <c r="B195" s="1087"/>
      <c r="C195" s="1096"/>
      <c r="D195" s="1092"/>
      <c r="E195" s="1092"/>
      <c r="F195" s="1094"/>
      <c r="G195" s="103"/>
      <c r="H195" s="840"/>
      <c r="I195" s="1092"/>
      <c r="J195" s="1085"/>
      <c r="K195" s="1085"/>
      <c r="L195" s="932"/>
      <c r="M195" s="932"/>
    </row>
    <row r="196" spans="1:13" s="106" customFormat="1" ht="15.75" hidden="1" customHeight="1" outlineLevel="1">
      <c r="A196" s="932"/>
      <c r="B196" s="1086">
        <v>62</v>
      </c>
      <c r="C196" s="1095"/>
      <c r="D196" s="1091"/>
      <c r="E196" s="1091" t="s">
        <v>20</v>
      </c>
      <c r="F196" s="1093" t="str">
        <f>VLOOKUP(E196,$N$13:$O$17,2,0)</f>
        <v>-</v>
      </c>
      <c r="G196" s="95"/>
      <c r="H196" s="839"/>
      <c r="I196" s="1091"/>
      <c r="J196" s="1083"/>
      <c r="K196" s="1083"/>
      <c r="L196" s="932"/>
      <c r="M196" s="932"/>
    </row>
    <row r="197" spans="1:13" s="106" customFormat="1" ht="15.75" hidden="1" customHeight="1" outlineLevel="1">
      <c r="A197" s="932"/>
      <c r="B197" s="1086"/>
      <c r="C197" s="1095"/>
      <c r="D197" s="1091"/>
      <c r="E197" s="1091"/>
      <c r="F197" s="1093"/>
      <c r="G197" s="98"/>
      <c r="H197" s="839"/>
      <c r="I197" s="1091"/>
      <c r="J197" s="1084"/>
      <c r="K197" s="1084"/>
      <c r="L197" s="932"/>
      <c r="M197" s="932"/>
    </row>
    <row r="198" spans="1:13" s="106" customFormat="1" ht="15.75" hidden="1" customHeight="1" outlineLevel="1">
      <c r="A198" s="932"/>
      <c r="B198" s="1087"/>
      <c r="C198" s="1096"/>
      <c r="D198" s="1092"/>
      <c r="E198" s="1092"/>
      <c r="F198" s="1094"/>
      <c r="G198" s="103"/>
      <c r="H198" s="840"/>
      <c r="I198" s="1092"/>
      <c r="J198" s="1085"/>
      <c r="K198" s="1085"/>
      <c r="L198" s="932"/>
      <c r="M198" s="932"/>
    </row>
    <row r="199" spans="1:13" s="106" customFormat="1" ht="15.75" hidden="1" customHeight="1" outlineLevel="1">
      <c r="A199" s="932"/>
      <c r="B199" s="1086">
        <v>63</v>
      </c>
      <c r="C199" s="1095"/>
      <c r="D199" s="1091"/>
      <c r="E199" s="1091" t="s">
        <v>20</v>
      </c>
      <c r="F199" s="1093" t="str">
        <f>VLOOKUP(E199,$N$13:$O$17,2,0)</f>
        <v>-</v>
      </c>
      <c r="G199" s="95"/>
      <c r="H199" s="839"/>
      <c r="I199" s="1091"/>
      <c r="J199" s="1083"/>
      <c r="K199" s="1083"/>
      <c r="L199" s="932"/>
      <c r="M199" s="932"/>
    </row>
    <row r="200" spans="1:13" s="106" customFormat="1" ht="15.75" hidden="1" customHeight="1" outlineLevel="1">
      <c r="A200" s="932"/>
      <c r="B200" s="1086"/>
      <c r="C200" s="1095"/>
      <c r="D200" s="1091"/>
      <c r="E200" s="1091"/>
      <c r="F200" s="1093"/>
      <c r="G200" s="98"/>
      <c r="H200" s="839"/>
      <c r="I200" s="1091"/>
      <c r="J200" s="1084"/>
      <c r="K200" s="1084"/>
      <c r="L200" s="932"/>
      <c r="M200" s="932"/>
    </row>
    <row r="201" spans="1:13" s="106" customFormat="1" ht="15.75" hidden="1" customHeight="1" outlineLevel="1">
      <c r="A201" s="932"/>
      <c r="B201" s="1087"/>
      <c r="C201" s="1096"/>
      <c r="D201" s="1092"/>
      <c r="E201" s="1092"/>
      <c r="F201" s="1094"/>
      <c r="G201" s="103"/>
      <c r="H201" s="840"/>
      <c r="I201" s="1092"/>
      <c r="J201" s="1085"/>
      <c r="K201" s="1085"/>
      <c r="L201" s="932"/>
      <c r="M201" s="932"/>
    </row>
    <row r="202" spans="1:13" s="106" customFormat="1" ht="15.75" hidden="1" customHeight="1" outlineLevel="1">
      <c r="A202" s="932"/>
      <c r="B202" s="1086">
        <v>64</v>
      </c>
      <c r="C202" s="1095"/>
      <c r="D202" s="1091"/>
      <c r="E202" s="1091" t="s">
        <v>20</v>
      </c>
      <c r="F202" s="1093" t="str">
        <f>VLOOKUP(E202,$N$13:$O$17,2,0)</f>
        <v>-</v>
      </c>
      <c r="G202" s="95"/>
      <c r="H202" s="839"/>
      <c r="I202" s="1091"/>
      <c r="J202" s="1083"/>
      <c r="K202" s="1083"/>
      <c r="L202" s="932"/>
      <c r="M202" s="932"/>
    </row>
    <row r="203" spans="1:13" s="106" customFormat="1" ht="15.75" hidden="1" customHeight="1" outlineLevel="1">
      <c r="A203" s="932"/>
      <c r="B203" s="1086"/>
      <c r="C203" s="1095"/>
      <c r="D203" s="1091"/>
      <c r="E203" s="1091"/>
      <c r="F203" s="1093"/>
      <c r="G203" s="98"/>
      <c r="H203" s="839"/>
      <c r="I203" s="1091"/>
      <c r="J203" s="1084"/>
      <c r="K203" s="1084"/>
      <c r="L203" s="932"/>
      <c r="M203" s="932"/>
    </row>
    <row r="204" spans="1:13" s="106" customFormat="1" ht="15.75" hidden="1" customHeight="1" outlineLevel="1">
      <c r="A204" s="932"/>
      <c r="B204" s="1087"/>
      <c r="C204" s="1096"/>
      <c r="D204" s="1092"/>
      <c r="E204" s="1092"/>
      <c r="F204" s="1094"/>
      <c r="G204" s="103"/>
      <c r="H204" s="840"/>
      <c r="I204" s="1092"/>
      <c r="J204" s="1085"/>
      <c r="K204" s="1085"/>
      <c r="L204" s="932"/>
      <c r="M204" s="932"/>
    </row>
    <row r="205" spans="1:13" s="106" customFormat="1" ht="15.75" hidden="1" customHeight="1" outlineLevel="1">
      <c r="A205" s="932"/>
      <c r="B205" s="1086">
        <v>65</v>
      </c>
      <c r="C205" s="1095"/>
      <c r="D205" s="1091"/>
      <c r="E205" s="1091" t="s">
        <v>20</v>
      </c>
      <c r="F205" s="1093" t="str">
        <f>VLOOKUP(E205,$N$13:$O$17,2,0)</f>
        <v>-</v>
      </c>
      <c r="G205" s="95"/>
      <c r="H205" s="839"/>
      <c r="I205" s="1091"/>
      <c r="J205" s="1083"/>
      <c r="K205" s="1083"/>
      <c r="L205" s="932"/>
      <c r="M205" s="932"/>
    </row>
    <row r="206" spans="1:13" s="106" customFormat="1" ht="15.75" hidden="1" customHeight="1" outlineLevel="1">
      <c r="A206" s="932"/>
      <c r="B206" s="1086"/>
      <c r="C206" s="1095"/>
      <c r="D206" s="1091"/>
      <c r="E206" s="1091"/>
      <c r="F206" s="1093"/>
      <c r="G206" s="98"/>
      <c r="H206" s="839"/>
      <c r="I206" s="1091"/>
      <c r="J206" s="1084"/>
      <c r="K206" s="1084"/>
      <c r="L206" s="932"/>
      <c r="M206" s="932"/>
    </row>
    <row r="207" spans="1:13" s="106" customFormat="1" ht="15.75" hidden="1" customHeight="1" outlineLevel="1">
      <c r="A207" s="932"/>
      <c r="B207" s="1087"/>
      <c r="C207" s="1096"/>
      <c r="D207" s="1092"/>
      <c r="E207" s="1092"/>
      <c r="F207" s="1094"/>
      <c r="G207" s="103"/>
      <c r="H207" s="840"/>
      <c r="I207" s="1092"/>
      <c r="J207" s="1085"/>
      <c r="K207" s="1085"/>
      <c r="L207" s="932"/>
      <c r="M207" s="932"/>
    </row>
    <row r="208" spans="1:13" s="106" customFormat="1" ht="15.75" hidden="1" customHeight="1" outlineLevel="1">
      <c r="A208" s="932"/>
      <c r="B208" s="1086">
        <v>66</v>
      </c>
      <c r="C208" s="1095"/>
      <c r="D208" s="1091"/>
      <c r="E208" s="1091" t="s">
        <v>20</v>
      </c>
      <c r="F208" s="1093" t="str">
        <f>VLOOKUP(E208,$N$13:$O$17,2,0)</f>
        <v>-</v>
      </c>
      <c r="G208" s="95"/>
      <c r="H208" s="839"/>
      <c r="I208" s="1091"/>
      <c r="J208" s="1083"/>
      <c r="K208" s="1083"/>
      <c r="L208" s="932"/>
      <c r="M208" s="932"/>
    </row>
    <row r="209" spans="1:13" s="106" customFormat="1" ht="15.75" hidden="1" customHeight="1" outlineLevel="1">
      <c r="A209" s="932"/>
      <c r="B209" s="1086"/>
      <c r="C209" s="1095"/>
      <c r="D209" s="1091"/>
      <c r="E209" s="1091"/>
      <c r="F209" s="1093"/>
      <c r="G209" s="98"/>
      <c r="H209" s="839"/>
      <c r="I209" s="1091"/>
      <c r="J209" s="1084"/>
      <c r="K209" s="1084"/>
      <c r="L209" s="932"/>
      <c r="M209" s="932"/>
    </row>
    <row r="210" spans="1:13" s="106" customFormat="1" ht="15.75" hidden="1" customHeight="1" outlineLevel="1">
      <c r="A210" s="932"/>
      <c r="B210" s="1087"/>
      <c r="C210" s="1096"/>
      <c r="D210" s="1092"/>
      <c r="E210" s="1092"/>
      <c r="F210" s="1094"/>
      <c r="G210" s="103"/>
      <c r="H210" s="840"/>
      <c r="I210" s="1092"/>
      <c r="J210" s="1085"/>
      <c r="K210" s="1085"/>
      <c r="L210" s="932"/>
      <c r="M210" s="932"/>
    </row>
    <row r="211" spans="1:13" s="106" customFormat="1" ht="15.75" hidden="1" customHeight="1" outlineLevel="1">
      <c r="A211" s="932"/>
      <c r="B211" s="1086">
        <v>67</v>
      </c>
      <c r="C211" s="1095"/>
      <c r="D211" s="1091"/>
      <c r="E211" s="1091" t="s">
        <v>20</v>
      </c>
      <c r="F211" s="1093" t="str">
        <f>VLOOKUP(E211,$N$13:$O$17,2,0)</f>
        <v>-</v>
      </c>
      <c r="G211" s="95"/>
      <c r="H211" s="839"/>
      <c r="I211" s="1091"/>
      <c r="J211" s="1083"/>
      <c r="K211" s="1083"/>
      <c r="L211" s="932"/>
      <c r="M211" s="932"/>
    </row>
    <row r="212" spans="1:13" s="106" customFormat="1" ht="15.75" hidden="1" customHeight="1" outlineLevel="1">
      <c r="A212" s="932"/>
      <c r="B212" s="1086"/>
      <c r="C212" s="1095"/>
      <c r="D212" s="1091"/>
      <c r="E212" s="1091"/>
      <c r="F212" s="1093"/>
      <c r="G212" s="98"/>
      <c r="H212" s="839"/>
      <c r="I212" s="1091"/>
      <c r="J212" s="1084"/>
      <c r="K212" s="1084"/>
      <c r="L212" s="932"/>
      <c r="M212" s="932"/>
    </row>
    <row r="213" spans="1:13" s="106" customFormat="1" ht="15.75" hidden="1" customHeight="1" outlineLevel="1">
      <c r="A213" s="932"/>
      <c r="B213" s="1087"/>
      <c r="C213" s="1096"/>
      <c r="D213" s="1092"/>
      <c r="E213" s="1092"/>
      <c r="F213" s="1094"/>
      <c r="G213" s="103"/>
      <c r="H213" s="840"/>
      <c r="I213" s="1092"/>
      <c r="J213" s="1085"/>
      <c r="K213" s="1085"/>
      <c r="L213" s="932"/>
      <c r="M213" s="932"/>
    </row>
    <row r="214" spans="1:13" s="106" customFormat="1" ht="15.75" hidden="1" customHeight="1" outlineLevel="1">
      <c r="A214" s="932"/>
      <c r="B214" s="1086">
        <v>68</v>
      </c>
      <c r="C214" s="1095"/>
      <c r="D214" s="1091"/>
      <c r="E214" s="1091" t="s">
        <v>20</v>
      </c>
      <c r="F214" s="1093" t="str">
        <f>VLOOKUP(E214,$N$13:$O$17,2,0)</f>
        <v>-</v>
      </c>
      <c r="G214" s="95"/>
      <c r="H214" s="839"/>
      <c r="I214" s="1091"/>
      <c r="J214" s="1083"/>
      <c r="K214" s="1083"/>
      <c r="L214" s="932"/>
      <c r="M214" s="932"/>
    </row>
    <row r="215" spans="1:13" s="106" customFormat="1" ht="15.75" hidden="1" customHeight="1" outlineLevel="1">
      <c r="A215" s="932"/>
      <c r="B215" s="1086"/>
      <c r="C215" s="1095"/>
      <c r="D215" s="1091"/>
      <c r="E215" s="1091"/>
      <c r="F215" s="1093"/>
      <c r="G215" s="98"/>
      <c r="H215" s="839"/>
      <c r="I215" s="1091"/>
      <c r="J215" s="1084"/>
      <c r="K215" s="1084"/>
      <c r="L215" s="932"/>
      <c r="M215" s="932"/>
    </row>
    <row r="216" spans="1:13" s="106" customFormat="1" ht="15.75" hidden="1" customHeight="1" outlineLevel="1">
      <c r="A216" s="932"/>
      <c r="B216" s="1087"/>
      <c r="C216" s="1096"/>
      <c r="D216" s="1092"/>
      <c r="E216" s="1092"/>
      <c r="F216" s="1094"/>
      <c r="G216" s="103"/>
      <c r="H216" s="840"/>
      <c r="I216" s="1092"/>
      <c r="J216" s="1085"/>
      <c r="K216" s="1085"/>
      <c r="L216" s="932"/>
      <c r="M216" s="932"/>
    </row>
    <row r="217" spans="1:13" s="106" customFormat="1" ht="15.75" hidden="1" customHeight="1" outlineLevel="1">
      <c r="A217" s="932"/>
      <c r="B217" s="1086">
        <v>69</v>
      </c>
      <c r="C217" s="1095"/>
      <c r="D217" s="1091"/>
      <c r="E217" s="1091" t="s">
        <v>20</v>
      </c>
      <c r="F217" s="1093" t="str">
        <f>VLOOKUP(E217,$N$13:$O$17,2,0)</f>
        <v>-</v>
      </c>
      <c r="G217" s="95"/>
      <c r="H217" s="839"/>
      <c r="I217" s="1091"/>
      <c r="J217" s="1083"/>
      <c r="K217" s="1083"/>
      <c r="L217" s="932"/>
      <c r="M217" s="932"/>
    </row>
    <row r="218" spans="1:13" s="106" customFormat="1" ht="15.75" hidden="1" customHeight="1" outlineLevel="1">
      <c r="A218" s="932"/>
      <c r="B218" s="1086"/>
      <c r="C218" s="1095"/>
      <c r="D218" s="1091"/>
      <c r="E218" s="1091"/>
      <c r="F218" s="1093"/>
      <c r="G218" s="98"/>
      <c r="H218" s="839"/>
      <c r="I218" s="1091"/>
      <c r="J218" s="1084"/>
      <c r="K218" s="1084"/>
      <c r="L218" s="932"/>
      <c r="M218" s="932"/>
    </row>
    <row r="219" spans="1:13" s="106" customFormat="1" ht="15.75" hidden="1" customHeight="1" outlineLevel="1">
      <c r="A219" s="932"/>
      <c r="B219" s="1087"/>
      <c r="C219" s="1096"/>
      <c r="D219" s="1092"/>
      <c r="E219" s="1092"/>
      <c r="F219" s="1094"/>
      <c r="G219" s="103"/>
      <c r="H219" s="840"/>
      <c r="I219" s="1092"/>
      <c r="J219" s="1085"/>
      <c r="K219" s="1085"/>
      <c r="L219" s="932"/>
      <c r="M219" s="932"/>
    </row>
    <row r="220" spans="1:13" s="106" customFormat="1" ht="15.75" hidden="1" customHeight="1" outlineLevel="1">
      <c r="A220" s="932"/>
      <c r="B220" s="1086">
        <v>70</v>
      </c>
      <c r="C220" s="1095"/>
      <c r="D220" s="1091"/>
      <c r="E220" s="1091" t="s">
        <v>20</v>
      </c>
      <c r="F220" s="1093" t="str">
        <f>VLOOKUP(E220,$N$13:$O$17,2,0)</f>
        <v>-</v>
      </c>
      <c r="G220" s="95"/>
      <c r="H220" s="839"/>
      <c r="I220" s="1091"/>
      <c r="J220" s="1083"/>
      <c r="K220" s="1083"/>
      <c r="L220" s="932"/>
      <c r="M220" s="932"/>
    </row>
    <row r="221" spans="1:13" s="106" customFormat="1" ht="15.75" hidden="1" customHeight="1" outlineLevel="1">
      <c r="A221" s="932"/>
      <c r="B221" s="1086"/>
      <c r="C221" s="1095"/>
      <c r="D221" s="1091"/>
      <c r="E221" s="1091"/>
      <c r="F221" s="1093"/>
      <c r="G221" s="98"/>
      <c r="H221" s="839"/>
      <c r="I221" s="1091"/>
      <c r="J221" s="1084"/>
      <c r="K221" s="1084"/>
      <c r="L221" s="932"/>
      <c r="M221" s="932"/>
    </row>
    <row r="222" spans="1:13" s="106" customFormat="1" ht="15.75" hidden="1" customHeight="1" outlineLevel="1">
      <c r="A222" s="932"/>
      <c r="B222" s="1087"/>
      <c r="C222" s="1096"/>
      <c r="D222" s="1092"/>
      <c r="E222" s="1092"/>
      <c r="F222" s="1094"/>
      <c r="G222" s="103"/>
      <c r="H222" s="840"/>
      <c r="I222" s="1092"/>
      <c r="J222" s="1085"/>
      <c r="K222" s="1085"/>
      <c r="L222" s="932"/>
      <c r="M222" s="932"/>
    </row>
    <row r="223" spans="1:13" s="106" customFormat="1" ht="15.75" hidden="1" customHeight="1" outlineLevel="1">
      <c r="A223" s="932"/>
      <c r="B223" s="1086">
        <v>71</v>
      </c>
      <c r="C223" s="1095"/>
      <c r="D223" s="1091"/>
      <c r="E223" s="1091" t="s">
        <v>20</v>
      </c>
      <c r="F223" s="1093" t="str">
        <f>VLOOKUP(E223,$N$13:$O$17,2,0)</f>
        <v>-</v>
      </c>
      <c r="G223" s="95"/>
      <c r="H223" s="839"/>
      <c r="I223" s="1091"/>
      <c r="J223" s="1083"/>
      <c r="K223" s="1083"/>
      <c r="L223" s="932"/>
      <c r="M223" s="932"/>
    </row>
    <row r="224" spans="1:13" s="106" customFormat="1" ht="15.75" hidden="1" customHeight="1" outlineLevel="1">
      <c r="A224" s="932"/>
      <c r="B224" s="1086"/>
      <c r="C224" s="1095"/>
      <c r="D224" s="1091"/>
      <c r="E224" s="1091"/>
      <c r="F224" s="1093"/>
      <c r="G224" s="98"/>
      <c r="H224" s="839"/>
      <c r="I224" s="1091"/>
      <c r="J224" s="1084"/>
      <c r="K224" s="1084"/>
      <c r="L224" s="932"/>
      <c r="M224" s="932"/>
    </row>
    <row r="225" spans="1:13" s="106" customFormat="1" ht="15.75" hidden="1" customHeight="1" outlineLevel="1">
      <c r="A225" s="932"/>
      <c r="B225" s="1087"/>
      <c r="C225" s="1096"/>
      <c r="D225" s="1092"/>
      <c r="E225" s="1092"/>
      <c r="F225" s="1094"/>
      <c r="G225" s="103"/>
      <c r="H225" s="840"/>
      <c r="I225" s="1092"/>
      <c r="J225" s="1085"/>
      <c r="K225" s="1085"/>
      <c r="L225" s="932"/>
      <c r="M225" s="932"/>
    </row>
    <row r="226" spans="1:13" s="106" customFormat="1" ht="15.75" hidden="1" customHeight="1" outlineLevel="1">
      <c r="A226" s="932"/>
      <c r="B226" s="1086">
        <v>72</v>
      </c>
      <c r="C226" s="1095"/>
      <c r="D226" s="1091"/>
      <c r="E226" s="1091" t="s">
        <v>20</v>
      </c>
      <c r="F226" s="1093" t="str">
        <f>VLOOKUP(E226,$N$13:$O$17,2,0)</f>
        <v>-</v>
      </c>
      <c r="G226" s="95"/>
      <c r="H226" s="839"/>
      <c r="I226" s="1091"/>
      <c r="J226" s="1083"/>
      <c r="K226" s="1083"/>
      <c r="L226" s="932"/>
      <c r="M226" s="932"/>
    </row>
    <row r="227" spans="1:13" s="106" customFormat="1" ht="15.75" hidden="1" customHeight="1" outlineLevel="1">
      <c r="A227" s="932"/>
      <c r="B227" s="1086"/>
      <c r="C227" s="1095"/>
      <c r="D227" s="1091"/>
      <c r="E227" s="1091"/>
      <c r="F227" s="1093"/>
      <c r="G227" s="98"/>
      <c r="H227" s="839"/>
      <c r="I227" s="1091"/>
      <c r="J227" s="1084"/>
      <c r="K227" s="1084"/>
      <c r="L227" s="932"/>
      <c r="M227" s="932"/>
    </row>
    <row r="228" spans="1:13" s="106" customFormat="1" ht="15.75" hidden="1" customHeight="1" outlineLevel="1">
      <c r="A228" s="932"/>
      <c r="B228" s="1087"/>
      <c r="C228" s="1096"/>
      <c r="D228" s="1092"/>
      <c r="E228" s="1092"/>
      <c r="F228" s="1094"/>
      <c r="G228" s="103"/>
      <c r="H228" s="840"/>
      <c r="I228" s="1092"/>
      <c r="J228" s="1085"/>
      <c r="K228" s="1085"/>
      <c r="L228" s="932"/>
      <c r="M228" s="932"/>
    </row>
    <row r="229" spans="1:13" s="106" customFormat="1" ht="15.75" hidden="1" customHeight="1" outlineLevel="1">
      <c r="A229" s="932"/>
      <c r="B229" s="1086">
        <v>73</v>
      </c>
      <c r="C229" s="1095"/>
      <c r="D229" s="1091"/>
      <c r="E229" s="1091" t="s">
        <v>20</v>
      </c>
      <c r="F229" s="1093" t="str">
        <f>VLOOKUP(E229,$N$13:$O$17,2,0)</f>
        <v>-</v>
      </c>
      <c r="G229" s="95"/>
      <c r="H229" s="839"/>
      <c r="I229" s="1091"/>
      <c r="J229" s="1083"/>
      <c r="K229" s="1083"/>
      <c r="L229" s="932"/>
      <c r="M229" s="932"/>
    </row>
    <row r="230" spans="1:13" s="106" customFormat="1" ht="15.75" hidden="1" customHeight="1" outlineLevel="1">
      <c r="A230" s="932"/>
      <c r="B230" s="1086"/>
      <c r="C230" s="1095"/>
      <c r="D230" s="1091"/>
      <c r="E230" s="1091"/>
      <c r="F230" s="1093"/>
      <c r="G230" s="98"/>
      <c r="H230" s="839"/>
      <c r="I230" s="1091"/>
      <c r="J230" s="1084"/>
      <c r="K230" s="1084"/>
      <c r="L230" s="932"/>
      <c r="M230" s="932"/>
    </row>
    <row r="231" spans="1:13" s="106" customFormat="1" ht="15.75" hidden="1" customHeight="1" outlineLevel="1">
      <c r="A231" s="932"/>
      <c r="B231" s="1087"/>
      <c r="C231" s="1096"/>
      <c r="D231" s="1092"/>
      <c r="E231" s="1092"/>
      <c r="F231" s="1094"/>
      <c r="G231" s="103"/>
      <c r="H231" s="840"/>
      <c r="I231" s="1092"/>
      <c r="J231" s="1085"/>
      <c r="K231" s="1085"/>
      <c r="L231" s="932"/>
      <c r="M231" s="932"/>
    </row>
    <row r="232" spans="1:13" s="106" customFormat="1" ht="15.75" hidden="1" customHeight="1" outlineLevel="1">
      <c r="A232" s="932"/>
      <c r="B232" s="1086">
        <v>74</v>
      </c>
      <c r="C232" s="1095"/>
      <c r="D232" s="1091"/>
      <c r="E232" s="1091" t="s">
        <v>20</v>
      </c>
      <c r="F232" s="1093" t="str">
        <f>VLOOKUP(E232,$N$13:$O$17,2,0)</f>
        <v>-</v>
      </c>
      <c r="G232" s="95"/>
      <c r="H232" s="839"/>
      <c r="I232" s="1091"/>
      <c r="J232" s="1083"/>
      <c r="K232" s="1083"/>
      <c r="L232" s="932"/>
      <c r="M232" s="932"/>
    </row>
    <row r="233" spans="1:13" s="106" customFormat="1" ht="15.75" hidden="1" customHeight="1" outlineLevel="1">
      <c r="A233" s="932"/>
      <c r="B233" s="1086"/>
      <c r="C233" s="1095"/>
      <c r="D233" s="1091"/>
      <c r="E233" s="1091"/>
      <c r="F233" s="1093"/>
      <c r="G233" s="98"/>
      <c r="H233" s="839"/>
      <c r="I233" s="1091"/>
      <c r="J233" s="1084"/>
      <c r="K233" s="1084"/>
      <c r="L233" s="932"/>
      <c r="M233" s="932"/>
    </row>
    <row r="234" spans="1:13" s="106" customFormat="1" ht="15.75" hidden="1" customHeight="1" outlineLevel="1">
      <c r="A234" s="932"/>
      <c r="B234" s="1087"/>
      <c r="C234" s="1096"/>
      <c r="D234" s="1092"/>
      <c r="E234" s="1092"/>
      <c r="F234" s="1094"/>
      <c r="G234" s="103"/>
      <c r="H234" s="840"/>
      <c r="I234" s="1092"/>
      <c r="J234" s="1085"/>
      <c r="K234" s="1085"/>
      <c r="L234" s="932"/>
      <c r="M234" s="932"/>
    </row>
    <row r="235" spans="1:13" s="106" customFormat="1" ht="15.75" hidden="1" customHeight="1" outlineLevel="1">
      <c r="A235" s="932"/>
      <c r="B235" s="1086">
        <v>75</v>
      </c>
      <c r="C235" s="1095"/>
      <c r="D235" s="1091"/>
      <c r="E235" s="1091" t="s">
        <v>20</v>
      </c>
      <c r="F235" s="1093" t="str">
        <f>VLOOKUP(E235,$N$13:$O$17,2,0)</f>
        <v>-</v>
      </c>
      <c r="G235" s="95"/>
      <c r="H235" s="839"/>
      <c r="I235" s="1091"/>
      <c r="J235" s="1083"/>
      <c r="K235" s="1083"/>
      <c r="L235" s="932"/>
      <c r="M235" s="932"/>
    </row>
    <row r="236" spans="1:13" s="106" customFormat="1" ht="15.75" hidden="1" customHeight="1" outlineLevel="1">
      <c r="A236" s="932"/>
      <c r="B236" s="1086"/>
      <c r="C236" s="1095"/>
      <c r="D236" s="1091"/>
      <c r="E236" s="1091"/>
      <c r="F236" s="1093"/>
      <c r="G236" s="98"/>
      <c r="H236" s="839"/>
      <c r="I236" s="1091"/>
      <c r="J236" s="1084"/>
      <c r="K236" s="1084"/>
      <c r="L236" s="932"/>
      <c r="M236" s="932"/>
    </row>
    <row r="237" spans="1:13" s="106" customFormat="1" ht="15.75" hidden="1" customHeight="1" outlineLevel="1">
      <c r="A237" s="932"/>
      <c r="B237" s="1087"/>
      <c r="C237" s="1096"/>
      <c r="D237" s="1092"/>
      <c r="E237" s="1092"/>
      <c r="F237" s="1094"/>
      <c r="G237" s="103"/>
      <c r="H237" s="840"/>
      <c r="I237" s="1092"/>
      <c r="J237" s="1085"/>
      <c r="K237" s="1085"/>
      <c r="L237" s="932"/>
      <c r="M237" s="932"/>
    </row>
    <row r="238" spans="1:13" s="106" customFormat="1" ht="15.75" hidden="1" customHeight="1" outlineLevel="1">
      <c r="A238" s="932"/>
      <c r="B238" s="1086">
        <v>76</v>
      </c>
      <c r="C238" s="1095"/>
      <c r="D238" s="1091"/>
      <c r="E238" s="1091" t="s">
        <v>20</v>
      </c>
      <c r="F238" s="1093" t="str">
        <f>VLOOKUP(E238,$N$13:$O$17,2,0)</f>
        <v>-</v>
      </c>
      <c r="G238" s="95"/>
      <c r="H238" s="839"/>
      <c r="I238" s="1091"/>
      <c r="J238" s="1083"/>
      <c r="K238" s="1083"/>
      <c r="L238" s="932"/>
      <c r="M238" s="932"/>
    </row>
    <row r="239" spans="1:13" s="106" customFormat="1" ht="15.75" hidden="1" customHeight="1" outlineLevel="1">
      <c r="A239" s="932"/>
      <c r="B239" s="1086"/>
      <c r="C239" s="1095"/>
      <c r="D239" s="1091"/>
      <c r="E239" s="1091"/>
      <c r="F239" s="1093"/>
      <c r="G239" s="98"/>
      <c r="H239" s="839"/>
      <c r="I239" s="1091"/>
      <c r="J239" s="1084"/>
      <c r="K239" s="1084"/>
      <c r="L239" s="932"/>
      <c r="M239" s="932"/>
    </row>
    <row r="240" spans="1:13" s="106" customFormat="1" ht="15.75" hidden="1" customHeight="1" outlineLevel="1">
      <c r="A240" s="932"/>
      <c r="B240" s="1087"/>
      <c r="C240" s="1096"/>
      <c r="D240" s="1092"/>
      <c r="E240" s="1092"/>
      <c r="F240" s="1094"/>
      <c r="G240" s="103"/>
      <c r="H240" s="840"/>
      <c r="I240" s="1092"/>
      <c r="J240" s="1085"/>
      <c r="K240" s="1085"/>
      <c r="L240" s="932"/>
      <c r="M240" s="932"/>
    </row>
    <row r="241" spans="1:13" s="106" customFormat="1" ht="15.75" hidden="1" customHeight="1" outlineLevel="1">
      <c r="A241" s="932"/>
      <c r="B241" s="1086">
        <v>77</v>
      </c>
      <c r="C241" s="1095"/>
      <c r="D241" s="1091"/>
      <c r="E241" s="1091" t="s">
        <v>20</v>
      </c>
      <c r="F241" s="1093" t="str">
        <f>VLOOKUP(E241,$N$13:$O$17,2,0)</f>
        <v>-</v>
      </c>
      <c r="G241" s="95"/>
      <c r="H241" s="839"/>
      <c r="I241" s="1091"/>
      <c r="J241" s="1083"/>
      <c r="K241" s="1083"/>
      <c r="L241" s="932"/>
      <c r="M241" s="932"/>
    </row>
    <row r="242" spans="1:13" s="106" customFormat="1" ht="15.75" hidden="1" customHeight="1" outlineLevel="1">
      <c r="A242" s="932"/>
      <c r="B242" s="1086"/>
      <c r="C242" s="1095"/>
      <c r="D242" s="1091"/>
      <c r="E242" s="1091"/>
      <c r="F242" s="1093"/>
      <c r="G242" s="98"/>
      <c r="H242" s="839"/>
      <c r="I242" s="1091"/>
      <c r="J242" s="1084"/>
      <c r="K242" s="1084"/>
      <c r="L242" s="932"/>
      <c r="M242" s="932"/>
    </row>
    <row r="243" spans="1:13" s="106" customFormat="1" ht="15.75" hidden="1" customHeight="1" outlineLevel="1">
      <c r="A243" s="932"/>
      <c r="B243" s="1087"/>
      <c r="C243" s="1096"/>
      <c r="D243" s="1092"/>
      <c r="E243" s="1092"/>
      <c r="F243" s="1094"/>
      <c r="G243" s="103"/>
      <c r="H243" s="840"/>
      <c r="I243" s="1092"/>
      <c r="J243" s="1085"/>
      <c r="K243" s="1085"/>
      <c r="L243" s="932"/>
      <c r="M243" s="932"/>
    </row>
    <row r="244" spans="1:13" s="106" customFormat="1" ht="15.75" hidden="1" customHeight="1" outlineLevel="1">
      <c r="A244" s="932"/>
      <c r="B244" s="1086">
        <v>78</v>
      </c>
      <c r="C244" s="1095"/>
      <c r="D244" s="1091"/>
      <c r="E244" s="1091" t="s">
        <v>20</v>
      </c>
      <c r="F244" s="1093" t="str">
        <f>VLOOKUP(E244,$N$13:$O$17,2,0)</f>
        <v>-</v>
      </c>
      <c r="G244" s="95"/>
      <c r="H244" s="839"/>
      <c r="I244" s="1091"/>
      <c r="J244" s="1083"/>
      <c r="K244" s="1083"/>
      <c r="L244" s="932"/>
      <c r="M244" s="932"/>
    </row>
    <row r="245" spans="1:13" s="106" customFormat="1" ht="15.75" hidden="1" customHeight="1" outlineLevel="1">
      <c r="A245" s="932"/>
      <c r="B245" s="1086"/>
      <c r="C245" s="1095"/>
      <c r="D245" s="1091"/>
      <c r="E245" s="1091"/>
      <c r="F245" s="1093"/>
      <c r="G245" s="98"/>
      <c r="H245" s="839"/>
      <c r="I245" s="1091"/>
      <c r="J245" s="1084"/>
      <c r="K245" s="1084"/>
      <c r="L245" s="932"/>
      <c r="M245" s="932"/>
    </row>
    <row r="246" spans="1:13" s="106" customFormat="1" ht="15.75" hidden="1" customHeight="1" outlineLevel="1">
      <c r="A246" s="932"/>
      <c r="B246" s="1087"/>
      <c r="C246" s="1096"/>
      <c r="D246" s="1092"/>
      <c r="E246" s="1092"/>
      <c r="F246" s="1094"/>
      <c r="G246" s="103"/>
      <c r="H246" s="840"/>
      <c r="I246" s="1092"/>
      <c r="J246" s="1085"/>
      <c r="K246" s="1085"/>
      <c r="L246" s="932"/>
      <c r="M246" s="932"/>
    </row>
    <row r="247" spans="1:13" s="106" customFormat="1" ht="15.75" hidden="1" customHeight="1" outlineLevel="1">
      <c r="A247" s="932"/>
      <c r="B247" s="1086">
        <v>79</v>
      </c>
      <c r="C247" s="1095"/>
      <c r="D247" s="1091"/>
      <c r="E247" s="1091" t="s">
        <v>20</v>
      </c>
      <c r="F247" s="1093" t="str">
        <f>VLOOKUP(E247,$N$13:$O$17,2,0)</f>
        <v>-</v>
      </c>
      <c r="G247" s="95"/>
      <c r="H247" s="839"/>
      <c r="I247" s="1091"/>
      <c r="J247" s="1083"/>
      <c r="K247" s="1083"/>
      <c r="L247" s="932"/>
      <c r="M247" s="932"/>
    </row>
    <row r="248" spans="1:13" s="106" customFormat="1" ht="15.75" hidden="1" customHeight="1" outlineLevel="1">
      <c r="A248" s="932"/>
      <c r="B248" s="1086"/>
      <c r="C248" s="1095"/>
      <c r="D248" s="1091"/>
      <c r="E248" s="1091"/>
      <c r="F248" s="1093"/>
      <c r="G248" s="98"/>
      <c r="H248" s="839"/>
      <c r="I248" s="1091"/>
      <c r="J248" s="1084"/>
      <c r="K248" s="1084"/>
      <c r="L248" s="932"/>
      <c r="M248" s="932"/>
    </row>
    <row r="249" spans="1:13" s="106" customFormat="1" ht="15.75" hidden="1" customHeight="1" outlineLevel="1">
      <c r="A249" s="932"/>
      <c r="B249" s="1087"/>
      <c r="C249" s="1096"/>
      <c r="D249" s="1092"/>
      <c r="E249" s="1092"/>
      <c r="F249" s="1094"/>
      <c r="G249" s="103"/>
      <c r="H249" s="840"/>
      <c r="I249" s="1092"/>
      <c r="J249" s="1085"/>
      <c r="K249" s="1085"/>
      <c r="L249" s="932"/>
      <c r="M249" s="932"/>
    </row>
    <row r="250" spans="1:13" s="106" customFormat="1" ht="15.75" hidden="1" customHeight="1" outlineLevel="1">
      <c r="A250" s="932"/>
      <c r="B250" s="1086">
        <v>80</v>
      </c>
      <c r="C250" s="1095"/>
      <c r="D250" s="1091"/>
      <c r="E250" s="1091" t="s">
        <v>20</v>
      </c>
      <c r="F250" s="1093" t="str">
        <f>VLOOKUP(E250,$N$13:$O$17,2,0)</f>
        <v>-</v>
      </c>
      <c r="G250" s="95"/>
      <c r="H250" s="839"/>
      <c r="I250" s="1091"/>
      <c r="J250" s="1083"/>
      <c r="K250" s="1083"/>
      <c r="L250" s="932"/>
      <c r="M250" s="932"/>
    </row>
    <row r="251" spans="1:13" s="106" customFormat="1" ht="15.75" hidden="1" customHeight="1" outlineLevel="1">
      <c r="A251" s="932"/>
      <c r="B251" s="1086"/>
      <c r="C251" s="1095"/>
      <c r="D251" s="1091"/>
      <c r="E251" s="1091"/>
      <c r="F251" s="1093"/>
      <c r="G251" s="98"/>
      <c r="H251" s="839"/>
      <c r="I251" s="1091"/>
      <c r="J251" s="1084"/>
      <c r="K251" s="1084"/>
      <c r="L251" s="932"/>
      <c r="M251" s="932"/>
    </row>
    <row r="252" spans="1:13" s="106" customFormat="1" ht="15.75" hidden="1" customHeight="1" outlineLevel="1">
      <c r="A252" s="932"/>
      <c r="B252" s="1087"/>
      <c r="C252" s="1096"/>
      <c r="D252" s="1092"/>
      <c r="E252" s="1092"/>
      <c r="F252" s="1094"/>
      <c r="G252" s="103"/>
      <c r="H252" s="840"/>
      <c r="I252" s="1092"/>
      <c r="J252" s="1085"/>
      <c r="K252" s="1085"/>
      <c r="L252" s="932"/>
      <c r="M252" s="932"/>
    </row>
    <row r="253" spans="1:13" s="106" customFormat="1" ht="15.75" hidden="1" customHeight="1" outlineLevel="1">
      <c r="A253" s="932"/>
      <c r="B253" s="1086">
        <v>81</v>
      </c>
      <c r="C253" s="1095"/>
      <c r="D253" s="1091"/>
      <c r="E253" s="1091" t="s">
        <v>20</v>
      </c>
      <c r="F253" s="1093" t="str">
        <f>VLOOKUP(E253,$N$13:$O$17,2,0)</f>
        <v>-</v>
      </c>
      <c r="G253" s="95"/>
      <c r="H253" s="839"/>
      <c r="I253" s="1091"/>
      <c r="J253" s="1083"/>
      <c r="K253" s="1083"/>
      <c r="L253" s="932"/>
      <c r="M253" s="932"/>
    </row>
    <row r="254" spans="1:13" s="106" customFormat="1" ht="15.75" hidden="1" customHeight="1" outlineLevel="1">
      <c r="A254" s="932"/>
      <c r="B254" s="1086"/>
      <c r="C254" s="1095"/>
      <c r="D254" s="1091"/>
      <c r="E254" s="1091"/>
      <c r="F254" s="1093"/>
      <c r="G254" s="98"/>
      <c r="H254" s="839"/>
      <c r="I254" s="1091"/>
      <c r="J254" s="1084"/>
      <c r="K254" s="1084"/>
      <c r="L254" s="932"/>
      <c r="M254" s="932"/>
    </row>
    <row r="255" spans="1:13" s="106" customFormat="1" ht="15.75" hidden="1" customHeight="1" outlineLevel="1">
      <c r="A255" s="932"/>
      <c r="B255" s="1087"/>
      <c r="C255" s="1096"/>
      <c r="D255" s="1092"/>
      <c r="E255" s="1092"/>
      <c r="F255" s="1094"/>
      <c r="G255" s="103"/>
      <c r="H255" s="840"/>
      <c r="I255" s="1092"/>
      <c r="J255" s="1085"/>
      <c r="K255" s="1085"/>
      <c r="L255" s="932"/>
      <c r="M255" s="932"/>
    </row>
    <row r="256" spans="1:13" s="106" customFormat="1" ht="15.75" hidden="1" customHeight="1" outlineLevel="1">
      <c r="A256" s="932"/>
      <c r="B256" s="1086">
        <v>82</v>
      </c>
      <c r="C256" s="1095"/>
      <c r="D256" s="1091"/>
      <c r="E256" s="1091" t="s">
        <v>20</v>
      </c>
      <c r="F256" s="1093" t="str">
        <f>VLOOKUP(E256,$N$13:$O$17,2,0)</f>
        <v>-</v>
      </c>
      <c r="G256" s="95"/>
      <c r="H256" s="839"/>
      <c r="I256" s="1091"/>
      <c r="J256" s="1083"/>
      <c r="K256" s="1083"/>
      <c r="L256" s="932"/>
      <c r="M256" s="932"/>
    </row>
    <row r="257" spans="1:13" s="106" customFormat="1" ht="15.75" hidden="1" customHeight="1" outlineLevel="1">
      <c r="A257" s="932"/>
      <c r="B257" s="1086"/>
      <c r="C257" s="1095"/>
      <c r="D257" s="1091"/>
      <c r="E257" s="1091"/>
      <c r="F257" s="1093"/>
      <c r="G257" s="98"/>
      <c r="H257" s="839"/>
      <c r="I257" s="1091"/>
      <c r="J257" s="1084"/>
      <c r="K257" s="1084"/>
      <c r="L257" s="932"/>
      <c r="M257" s="932"/>
    </row>
    <row r="258" spans="1:13" s="106" customFormat="1" ht="15.75" hidden="1" customHeight="1" outlineLevel="1">
      <c r="A258" s="932"/>
      <c r="B258" s="1087"/>
      <c r="C258" s="1096"/>
      <c r="D258" s="1092"/>
      <c r="E258" s="1092"/>
      <c r="F258" s="1094"/>
      <c r="G258" s="103"/>
      <c r="H258" s="840"/>
      <c r="I258" s="1092"/>
      <c r="J258" s="1085"/>
      <c r="K258" s="1085"/>
      <c r="L258" s="932"/>
      <c r="M258" s="932"/>
    </row>
    <row r="259" spans="1:13" s="106" customFormat="1" ht="15.75" hidden="1" customHeight="1" outlineLevel="1">
      <c r="A259" s="932"/>
      <c r="B259" s="1086">
        <v>83</v>
      </c>
      <c r="C259" s="1095"/>
      <c r="D259" s="1091"/>
      <c r="E259" s="1091" t="s">
        <v>20</v>
      </c>
      <c r="F259" s="1093" t="str">
        <f>VLOOKUP(E259,$N$13:$O$17,2,0)</f>
        <v>-</v>
      </c>
      <c r="G259" s="95"/>
      <c r="H259" s="839"/>
      <c r="I259" s="1091"/>
      <c r="J259" s="1083"/>
      <c r="K259" s="1083"/>
      <c r="L259" s="932"/>
      <c r="M259" s="932"/>
    </row>
    <row r="260" spans="1:13" s="106" customFormat="1" ht="15.75" hidden="1" customHeight="1" outlineLevel="1">
      <c r="A260" s="932"/>
      <c r="B260" s="1086"/>
      <c r="C260" s="1095"/>
      <c r="D260" s="1091"/>
      <c r="E260" s="1091"/>
      <c r="F260" s="1093"/>
      <c r="G260" s="98"/>
      <c r="H260" s="839"/>
      <c r="I260" s="1091"/>
      <c r="J260" s="1084"/>
      <c r="K260" s="1084"/>
      <c r="L260" s="932"/>
      <c r="M260" s="932"/>
    </row>
    <row r="261" spans="1:13" s="106" customFormat="1" ht="15.75" hidden="1" customHeight="1" outlineLevel="1">
      <c r="A261" s="932"/>
      <c r="B261" s="1087"/>
      <c r="C261" s="1096"/>
      <c r="D261" s="1092"/>
      <c r="E261" s="1092"/>
      <c r="F261" s="1094"/>
      <c r="G261" s="103"/>
      <c r="H261" s="840"/>
      <c r="I261" s="1092"/>
      <c r="J261" s="1085"/>
      <c r="K261" s="1085"/>
      <c r="L261" s="932"/>
      <c r="M261" s="932"/>
    </row>
    <row r="262" spans="1:13" s="106" customFormat="1" ht="15.75" hidden="1" customHeight="1" outlineLevel="1">
      <c r="A262" s="932"/>
      <c r="B262" s="1086">
        <v>84</v>
      </c>
      <c r="C262" s="1095"/>
      <c r="D262" s="1091"/>
      <c r="E262" s="1091" t="s">
        <v>20</v>
      </c>
      <c r="F262" s="1093" t="str">
        <f>VLOOKUP(E262,$N$13:$O$17,2,0)</f>
        <v>-</v>
      </c>
      <c r="G262" s="95"/>
      <c r="H262" s="839"/>
      <c r="I262" s="1091"/>
      <c r="J262" s="1083"/>
      <c r="K262" s="1083"/>
      <c r="L262" s="932"/>
      <c r="M262" s="932"/>
    </row>
    <row r="263" spans="1:13" s="106" customFormat="1" ht="15.75" hidden="1" customHeight="1" outlineLevel="1">
      <c r="A263" s="932"/>
      <c r="B263" s="1086"/>
      <c r="C263" s="1095"/>
      <c r="D263" s="1091"/>
      <c r="E263" s="1091"/>
      <c r="F263" s="1093"/>
      <c r="G263" s="98"/>
      <c r="H263" s="839"/>
      <c r="I263" s="1091"/>
      <c r="J263" s="1084"/>
      <c r="K263" s="1084"/>
      <c r="L263" s="932"/>
      <c r="M263" s="932"/>
    </row>
    <row r="264" spans="1:13" s="106" customFormat="1" ht="15.75" hidden="1" customHeight="1" outlineLevel="1">
      <c r="A264" s="932"/>
      <c r="B264" s="1087"/>
      <c r="C264" s="1096"/>
      <c r="D264" s="1092"/>
      <c r="E264" s="1092"/>
      <c r="F264" s="1094"/>
      <c r="G264" s="103"/>
      <c r="H264" s="840"/>
      <c r="I264" s="1092"/>
      <c r="J264" s="1085"/>
      <c r="K264" s="1085"/>
      <c r="L264" s="932"/>
      <c r="M264" s="932"/>
    </row>
    <row r="265" spans="1:13" s="106" customFormat="1" ht="15.75" hidden="1" customHeight="1" outlineLevel="1">
      <c r="A265" s="932"/>
      <c r="B265" s="1086">
        <v>85</v>
      </c>
      <c r="C265" s="1095"/>
      <c r="D265" s="1091"/>
      <c r="E265" s="1091" t="s">
        <v>20</v>
      </c>
      <c r="F265" s="1093" t="str">
        <f>VLOOKUP(E265,$N$13:$O$17,2,0)</f>
        <v>-</v>
      </c>
      <c r="G265" s="95"/>
      <c r="H265" s="839"/>
      <c r="I265" s="1091"/>
      <c r="J265" s="1083"/>
      <c r="K265" s="1083"/>
      <c r="L265" s="932"/>
      <c r="M265" s="932"/>
    </row>
    <row r="266" spans="1:13" s="106" customFormat="1" ht="15.75" hidden="1" customHeight="1" outlineLevel="1">
      <c r="A266" s="932"/>
      <c r="B266" s="1086"/>
      <c r="C266" s="1095"/>
      <c r="D266" s="1091"/>
      <c r="E266" s="1091"/>
      <c r="F266" s="1093"/>
      <c r="G266" s="98"/>
      <c r="H266" s="839"/>
      <c r="I266" s="1091"/>
      <c r="J266" s="1084"/>
      <c r="K266" s="1084"/>
      <c r="L266" s="932"/>
      <c r="M266" s="932"/>
    </row>
    <row r="267" spans="1:13" s="106" customFormat="1" ht="15.75" hidden="1" customHeight="1" outlineLevel="1">
      <c r="A267" s="932"/>
      <c r="B267" s="1087"/>
      <c r="C267" s="1096"/>
      <c r="D267" s="1092"/>
      <c r="E267" s="1092"/>
      <c r="F267" s="1094"/>
      <c r="G267" s="103"/>
      <c r="H267" s="840"/>
      <c r="I267" s="1092"/>
      <c r="J267" s="1085"/>
      <c r="K267" s="1085"/>
      <c r="L267" s="932"/>
      <c r="M267" s="932"/>
    </row>
    <row r="268" spans="1:13" s="106" customFormat="1" ht="15.75" hidden="1" customHeight="1" outlineLevel="1">
      <c r="A268" s="932"/>
      <c r="B268" s="1086">
        <v>86</v>
      </c>
      <c r="C268" s="1095"/>
      <c r="D268" s="1091"/>
      <c r="E268" s="1091" t="s">
        <v>20</v>
      </c>
      <c r="F268" s="1093" t="str">
        <f>VLOOKUP(E268,$N$13:$O$17,2,0)</f>
        <v>-</v>
      </c>
      <c r="G268" s="95"/>
      <c r="H268" s="839"/>
      <c r="I268" s="1091"/>
      <c r="J268" s="1083"/>
      <c r="K268" s="1083"/>
      <c r="L268" s="932"/>
      <c r="M268" s="932"/>
    </row>
    <row r="269" spans="1:13" s="106" customFormat="1" ht="15.75" hidden="1" customHeight="1" outlineLevel="1">
      <c r="A269" s="932"/>
      <c r="B269" s="1086"/>
      <c r="C269" s="1095"/>
      <c r="D269" s="1091"/>
      <c r="E269" s="1091"/>
      <c r="F269" s="1093"/>
      <c r="G269" s="98"/>
      <c r="H269" s="839"/>
      <c r="I269" s="1091"/>
      <c r="J269" s="1084"/>
      <c r="K269" s="1084"/>
      <c r="L269" s="932"/>
      <c r="M269" s="932"/>
    </row>
    <row r="270" spans="1:13" s="106" customFormat="1" ht="15.75" hidden="1" customHeight="1" outlineLevel="1">
      <c r="A270" s="932"/>
      <c r="B270" s="1087"/>
      <c r="C270" s="1096"/>
      <c r="D270" s="1092"/>
      <c r="E270" s="1092"/>
      <c r="F270" s="1094"/>
      <c r="G270" s="103"/>
      <c r="H270" s="840"/>
      <c r="I270" s="1092"/>
      <c r="J270" s="1085"/>
      <c r="K270" s="1085"/>
      <c r="L270" s="932"/>
      <c r="M270" s="932"/>
    </row>
    <row r="271" spans="1:13" s="106" customFormat="1" ht="15.75" hidden="1" customHeight="1" outlineLevel="1">
      <c r="A271" s="932"/>
      <c r="B271" s="1086">
        <v>87</v>
      </c>
      <c r="C271" s="1095"/>
      <c r="D271" s="1091"/>
      <c r="E271" s="1091" t="s">
        <v>20</v>
      </c>
      <c r="F271" s="1093" t="str">
        <f>VLOOKUP(E271,$N$13:$O$17,2,0)</f>
        <v>-</v>
      </c>
      <c r="G271" s="95"/>
      <c r="H271" s="839"/>
      <c r="I271" s="1091"/>
      <c r="J271" s="1083"/>
      <c r="K271" s="1083"/>
      <c r="L271" s="932"/>
      <c r="M271" s="932"/>
    </row>
    <row r="272" spans="1:13" s="106" customFormat="1" ht="15.75" hidden="1" customHeight="1" outlineLevel="1">
      <c r="A272" s="932"/>
      <c r="B272" s="1086"/>
      <c r="C272" s="1095"/>
      <c r="D272" s="1091"/>
      <c r="E272" s="1091"/>
      <c r="F272" s="1093"/>
      <c r="G272" s="98"/>
      <c r="H272" s="839"/>
      <c r="I272" s="1091"/>
      <c r="J272" s="1084"/>
      <c r="K272" s="1084"/>
      <c r="L272" s="932"/>
      <c r="M272" s="932"/>
    </row>
    <row r="273" spans="1:13" s="106" customFormat="1" ht="15.75" hidden="1" customHeight="1" outlineLevel="1">
      <c r="A273" s="932"/>
      <c r="B273" s="1087"/>
      <c r="C273" s="1096"/>
      <c r="D273" s="1092"/>
      <c r="E273" s="1092"/>
      <c r="F273" s="1094"/>
      <c r="G273" s="103"/>
      <c r="H273" s="840"/>
      <c r="I273" s="1092"/>
      <c r="J273" s="1085"/>
      <c r="K273" s="1085"/>
      <c r="L273" s="932"/>
      <c r="M273" s="932"/>
    </row>
    <row r="274" spans="1:13" s="106" customFormat="1" ht="15.75" hidden="1" customHeight="1" outlineLevel="1">
      <c r="A274" s="932"/>
      <c r="B274" s="1086">
        <v>88</v>
      </c>
      <c r="C274" s="1095"/>
      <c r="D274" s="1091"/>
      <c r="E274" s="1091" t="s">
        <v>20</v>
      </c>
      <c r="F274" s="1093" t="str">
        <f>VLOOKUP(E274,$N$13:$O$17,2,0)</f>
        <v>-</v>
      </c>
      <c r="G274" s="95"/>
      <c r="H274" s="839"/>
      <c r="I274" s="1091"/>
      <c r="J274" s="1083"/>
      <c r="K274" s="1083"/>
      <c r="L274" s="932"/>
      <c r="M274" s="932"/>
    </row>
    <row r="275" spans="1:13" s="106" customFormat="1" ht="15.75" hidden="1" customHeight="1" outlineLevel="1">
      <c r="A275" s="932"/>
      <c r="B275" s="1086"/>
      <c r="C275" s="1095"/>
      <c r="D275" s="1091"/>
      <c r="E275" s="1091"/>
      <c r="F275" s="1093"/>
      <c r="G275" s="98"/>
      <c r="H275" s="839"/>
      <c r="I275" s="1091"/>
      <c r="J275" s="1084"/>
      <c r="K275" s="1084"/>
      <c r="L275" s="932"/>
      <c r="M275" s="932"/>
    </row>
    <row r="276" spans="1:13" s="106" customFormat="1" ht="15.75" hidden="1" customHeight="1" outlineLevel="1">
      <c r="A276" s="932"/>
      <c r="B276" s="1087"/>
      <c r="C276" s="1096"/>
      <c r="D276" s="1092"/>
      <c r="E276" s="1092"/>
      <c r="F276" s="1094"/>
      <c r="G276" s="103"/>
      <c r="H276" s="840"/>
      <c r="I276" s="1092"/>
      <c r="J276" s="1085"/>
      <c r="K276" s="1085"/>
      <c r="L276" s="932"/>
      <c r="M276" s="932"/>
    </row>
    <row r="277" spans="1:13" s="106" customFormat="1" ht="15.75" hidden="1" customHeight="1" outlineLevel="1">
      <c r="A277" s="932"/>
      <c r="B277" s="1086">
        <v>89</v>
      </c>
      <c r="C277" s="1095"/>
      <c r="D277" s="1091"/>
      <c r="E277" s="1091" t="s">
        <v>20</v>
      </c>
      <c r="F277" s="1093" t="str">
        <f>VLOOKUP(E277,$N$13:$O$17,2,0)</f>
        <v>-</v>
      </c>
      <c r="G277" s="95"/>
      <c r="H277" s="839"/>
      <c r="I277" s="1091"/>
      <c r="J277" s="1083"/>
      <c r="K277" s="1083"/>
      <c r="L277" s="932"/>
      <c r="M277" s="932"/>
    </row>
    <row r="278" spans="1:13" s="106" customFormat="1" ht="15.75" hidden="1" customHeight="1" outlineLevel="1">
      <c r="A278" s="932"/>
      <c r="B278" s="1086"/>
      <c r="C278" s="1095"/>
      <c r="D278" s="1091"/>
      <c r="E278" s="1091"/>
      <c r="F278" s="1093"/>
      <c r="G278" s="98"/>
      <c r="H278" s="839"/>
      <c r="I278" s="1091"/>
      <c r="J278" s="1084"/>
      <c r="K278" s="1084"/>
      <c r="L278" s="932"/>
      <c r="M278" s="932"/>
    </row>
    <row r="279" spans="1:13" s="106" customFormat="1" ht="15.75" hidden="1" customHeight="1" outlineLevel="1">
      <c r="A279" s="932"/>
      <c r="B279" s="1087"/>
      <c r="C279" s="1096"/>
      <c r="D279" s="1092"/>
      <c r="E279" s="1092"/>
      <c r="F279" s="1094"/>
      <c r="G279" s="103"/>
      <c r="H279" s="840"/>
      <c r="I279" s="1092"/>
      <c r="J279" s="1085"/>
      <c r="K279" s="1085"/>
      <c r="L279" s="932"/>
      <c r="M279" s="932"/>
    </row>
    <row r="280" spans="1:13" s="106" customFormat="1" ht="15.75" hidden="1" customHeight="1" outlineLevel="1">
      <c r="A280" s="932"/>
      <c r="B280" s="1086">
        <v>90</v>
      </c>
      <c r="C280" s="1095"/>
      <c r="D280" s="1091"/>
      <c r="E280" s="1091" t="s">
        <v>20</v>
      </c>
      <c r="F280" s="1093" t="str">
        <f>VLOOKUP(E280,$N$13:$O$17,2,0)</f>
        <v>-</v>
      </c>
      <c r="G280" s="95"/>
      <c r="H280" s="839"/>
      <c r="I280" s="1091"/>
      <c r="J280" s="1083"/>
      <c r="K280" s="1083"/>
      <c r="L280" s="932"/>
      <c r="M280" s="932"/>
    </row>
    <row r="281" spans="1:13" s="106" customFormat="1" ht="15.75" hidden="1" customHeight="1" outlineLevel="1">
      <c r="A281" s="932"/>
      <c r="B281" s="1086"/>
      <c r="C281" s="1095"/>
      <c r="D281" s="1091"/>
      <c r="E281" s="1091"/>
      <c r="F281" s="1093"/>
      <c r="G281" s="98"/>
      <c r="H281" s="839"/>
      <c r="I281" s="1091"/>
      <c r="J281" s="1084"/>
      <c r="K281" s="1084"/>
      <c r="L281" s="932"/>
      <c r="M281" s="932"/>
    </row>
    <row r="282" spans="1:13" s="106" customFormat="1" ht="15.75" hidden="1" customHeight="1" outlineLevel="1">
      <c r="A282" s="932"/>
      <c r="B282" s="1087"/>
      <c r="C282" s="1096"/>
      <c r="D282" s="1092"/>
      <c r="E282" s="1092"/>
      <c r="F282" s="1094"/>
      <c r="G282" s="103"/>
      <c r="H282" s="840"/>
      <c r="I282" s="1092"/>
      <c r="J282" s="1085"/>
      <c r="K282" s="1085"/>
      <c r="L282" s="932"/>
      <c r="M282" s="932"/>
    </row>
    <row r="283" spans="1:13" s="106" customFormat="1" ht="15.75" hidden="1" customHeight="1" outlineLevel="1">
      <c r="A283" s="932"/>
      <c r="B283" s="1086">
        <v>91</v>
      </c>
      <c r="C283" s="1095"/>
      <c r="D283" s="1091"/>
      <c r="E283" s="1091" t="s">
        <v>20</v>
      </c>
      <c r="F283" s="1093" t="str">
        <f>VLOOKUP(E283,$N$13:$O$17,2,0)</f>
        <v>-</v>
      </c>
      <c r="G283" s="95"/>
      <c r="H283" s="839"/>
      <c r="I283" s="1091"/>
      <c r="J283" s="1083"/>
      <c r="K283" s="1083"/>
      <c r="L283" s="932"/>
      <c r="M283" s="932"/>
    </row>
    <row r="284" spans="1:13" s="106" customFormat="1" ht="15.75" hidden="1" customHeight="1" outlineLevel="1">
      <c r="A284" s="932"/>
      <c r="B284" s="1086"/>
      <c r="C284" s="1095"/>
      <c r="D284" s="1091"/>
      <c r="E284" s="1091"/>
      <c r="F284" s="1093"/>
      <c r="G284" s="98"/>
      <c r="H284" s="839"/>
      <c r="I284" s="1091"/>
      <c r="J284" s="1084"/>
      <c r="K284" s="1084"/>
      <c r="L284" s="932"/>
      <c r="M284" s="932"/>
    </row>
    <row r="285" spans="1:13" s="106" customFormat="1" ht="15.75" hidden="1" customHeight="1" outlineLevel="1">
      <c r="A285" s="932"/>
      <c r="B285" s="1087"/>
      <c r="C285" s="1096"/>
      <c r="D285" s="1092"/>
      <c r="E285" s="1092"/>
      <c r="F285" s="1094"/>
      <c r="G285" s="103"/>
      <c r="H285" s="840"/>
      <c r="I285" s="1092"/>
      <c r="J285" s="1085"/>
      <c r="K285" s="1085"/>
      <c r="L285" s="932"/>
      <c r="M285" s="932"/>
    </row>
    <row r="286" spans="1:13" s="106" customFormat="1" ht="15.75" hidden="1" customHeight="1" outlineLevel="1">
      <c r="A286" s="932"/>
      <c r="B286" s="1086">
        <v>92</v>
      </c>
      <c r="C286" s="1095"/>
      <c r="D286" s="1091"/>
      <c r="E286" s="1091" t="s">
        <v>20</v>
      </c>
      <c r="F286" s="1093" t="str">
        <f>VLOOKUP(E286,$N$13:$O$17,2,0)</f>
        <v>-</v>
      </c>
      <c r="G286" s="95"/>
      <c r="H286" s="839"/>
      <c r="I286" s="1091"/>
      <c r="J286" s="1083"/>
      <c r="K286" s="1083"/>
      <c r="L286" s="932"/>
      <c r="M286" s="932"/>
    </row>
    <row r="287" spans="1:13" s="106" customFormat="1" ht="15.75" hidden="1" customHeight="1" outlineLevel="1">
      <c r="A287" s="932"/>
      <c r="B287" s="1086"/>
      <c r="C287" s="1095"/>
      <c r="D287" s="1091"/>
      <c r="E287" s="1091"/>
      <c r="F287" s="1093"/>
      <c r="G287" s="98"/>
      <c r="H287" s="839"/>
      <c r="I287" s="1091"/>
      <c r="J287" s="1084"/>
      <c r="K287" s="1084"/>
      <c r="L287" s="932"/>
      <c r="M287" s="932"/>
    </row>
    <row r="288" spans="1:13" s="106" customFormat="1" ht="15.75" hidden="1" customHeight="1" outlineLevel="1">
      <c r="A288" s="932"/>
      <c r="B288" s="1087"/>
      <c r="C288" s="1096"/>
      <c r="D288" s="1092"/>
      <c r="E288" s="1092"/>
      <c r="F288" s="1094"/>
      <c r="G288" s="103"/>
      <c r="H288" s="840"/>
      <c r="I288" s="1092"/>
      <c r="J288" s="1085"/>
      <c r="K288" s="1085"/>
      <c r="L288" s="932"/>
      <c r="M288" s="932"/>
    </row>
    <row r="289" spans="1:13" s="106" customFormat="1" ht="15.75" hidden="1" customHeight="1" outlineLevel="1">
      <c r="A289" s="932"/>
      <c r="B289" s="1086">
        <v>93</v>
      </c>
      <c r="C289" s="1095"/>
      <c r="D289" s="1091"/>
      <c r="E289" s="1091" t="s">
        <v>20</v>
      </c>
      <c r="F289" s="1093" t="str">
        <f>VLOOKUP(E289,$N$13:$O$17,2,0)</f>
        <v>-</v>
      </c>
      <c r="G289" s="95"/>
      <c r="H289" s="839"/>
      <c r="I289" s="1091"/>
      <c r="J289" s="1083"/>
      <c r="K289" s="1083"/>
      <c r="L289" s="932"/>
      <c r="M289" s="932"/>
    </row>
    <row r="290" spans="1:13" s="106" customFormat="1" ht="15.75" hidden="1" customHeight="1" outlineLevel="1">
      <c r="A290" s="932"/>
      <c r="B290" s="1086"/>
      <c r="C290" s="1095"/>
      <c r="D290" s="1091"/>
      <c r="E290" s="1091"/>
      <c r="F290" s="1093"/>
      <c r="G290" s="98"/>
      <c r="H290" s="839"/>
      <c r="I290" s="1091"/>
      <c r="J290" s="1084"/>
      <c r="K290" s="1084"/>
      <c r="L290" s="932"/>
      <c r="M290" s="932"/>
    </row>
    <row r="291" spans="1:13" s="106" customFormat="1" ht="15.75" hidden="1" customHeight="1" outlineLevel="1">
      <c r="A291" s="932"/>
      <c r="B291" s="1087"/>
      <c r="C291" s="1096"/>
      <c r="D291" s="1092"/>
      <c r="E291" s="1092"/>
      <c r="F291" s="1094"/>
      <c r="G291" s="103"/>
      <c r="H291" s="840"/>
      <c r="I291" s="1092"/>
      <c r="J291" s="1085"/>
      <c r="K291" s="1085"/>
      <c r="L291" s="932"/>
      <c r="M291" s="932"/>
    </row>
    <row r="292" spans="1:13" s="106" customFormat="1" ht="15.75" hidden="1" customHeight="1" outlineLevel="1">
      <c r="A292" s="932"/>
      <c r="B292" s="1086">
        <v>94</v>
      </c>
      <c r="C292" s="1095"/>
      <c r="D292" s="1091"/>
      <c r="E292" s="1091" t="s">
        <v>20</v>
      </c>
      <c r="F292" s="1093" t="str">
        <f>VLOOKUP(E292,$N$13:$O$17,2,0)</f>
        <v>-</v>
      </c>
      <c r="G292" s="95"/>
      <c r="H292" s="839"/>
      <c r="I292" s="1091"/>
      <c r="J292" s="1083"/>
      <c r="K292" s="1083"/>
      <c r="L292" s="932"/>
      <c r="M292" s="932"/>
    </row>
    <row r="293" spans="1:13" s="106" customFormat="1" ht="15.75" hidden="1" customHeight="1" outlineLevel="1">
      <c r="A293" s="932"/>
      <c r="B293" s="1086"/>
      <c r="C293" s="1095"/>
      <c r="D293" s="1091"/>
      <c r="E293" s="1091"/>
      <c r="F293" s="1093"/>
      <c r="G293" s="98"/>
      <c r="H293" s="839"/>
      <c r="I293" s="1091"/>
      <c r="J293" s="1084"/>
      <c r="K293" s="1084"/>
      <c r="L293" s="932"/>
      <c r="M293" s="932"/>
    </row>
    <row r="294" spans="1:13" s="106" customFormat="1" ht="15.75" hidden="1" customHeight="1" outlineLevel="1">
      <c r="A294" s="932"/>
      <c r="B294" s="1087"/>
      <c r="C294" s="1096"/>
      <c r="D294" s="1092"/>
      <c r="E294" s="1092"/>
      <c r="F294" s="1094"/>
      <c r="G294" s="103"/>
      <c r="H294" s="840"/>
      <c r="I294" s="1092"/>
      <c r="J294" s="1085"/>
      <c r="K294" s="1085"/>
      <c r="L294" s="932"/>
      <c r="M294" s="932"/>
    </row>
    <row r="295" spans="1:13" s="106" customFormat="1" ht="15.75" hidden="1" customHeight="1" outlineLevel="1">
      <c r="A295" s="932"/>
      <c r="B295" s="1086">
        <v>95</v>
      </c>
      <c r="C295" s="1095"/>
      <c r="D295" s="1091"/>
      <c r="E295" s="1091" t="s">
        <v>20</v>
      </c>
      <c r="F295" s="1093" t="str">
        <f>VLOOKUP(E295,$N$13:$O$17,2,0)</f>
        <v>-</v>
      </c>
      <c r="G295" s="95"/>
      <c r="H295" s="839"/>
      <c r="I295" s="1091"/>
      <c r="J295" s="1083"/>
      <c r="K295" s="1083"/>
      <c r="L295" s="932"/>
      <c r="M295" s="932"/>
    </row>
    <row r="296" spans="1:13" s="106" customFormat="1" ht="15.75" hidden="1" customHeight="1" outlineLevel="1">
      <c r="A296" s="932"/>
      <c r="B296" s="1086"/>
      <c r="C296" s="1095"/>
      <c r="D296" s="1091"/>
      <c r="E296" s="1091"/>
      <c r="F296" s="1093"/>
      <c r="G296" s="98"/>
      <c r="H296" s="839"/>
      <c r="I296" s="1091"/>
      <c r="J296" s="1084"/>
      <c r="K296" s="1084"/>
      <c r="L296" s="932"/>
      <c r="M296" s="932"/>
    </row>
    <row r="297" spans="1:13" s="106" customFormat="1" ht="15.75" hidden="1" customHeight="1" outlineLevel="1">
      <c r="A297" s="932"/>
      <c r="B297" s="1087"/>
      <c r="C297" s="1096"/>
      <c r="D297" s="1092"/>
      <c r="E297" s="1092"/>
      <c r="F297" s="1094"/>
      <c r="G297" s="103"/>
      <c r="H297" s="840"/>
      <c r="I297" s="1092"/>
      <c r="J297" s="1085"/>
      <c r="K297" s="1085"/>
      <c r="L297" s="932"/>
      <c r="M297" s="932"/>
    </row>
    <row r="298" spans="1:13" s="106" customFormat="1" ht="15.75" hidden="1" customHeight="1" outlineLevel="1">
      <c r="A298" s="932"/>
      <c r="B298" s="1086">
        <v>96</v>
      </c>
      <c r="C298" s="1095"/>
      <c r="D298" s="1091"/>
      <c r="E298" s="1091" t="s">
        <v>20</v>
      </c>
      <c r="F298" s="1093" t="str">
        <f>VLOOKUP(E298,$N$13:$O$17,2,0)</f>
        <v>-</v>
      </c>
      <c r="G298" s="95"/>
      <c r="H298" s="839"/>
      <c r="I298" s="1091"/>
      <c r="J298" s="1083"/>
      <c r="K298" s="1083"/>
      <c r="L298" s="932"/>
      <c r="M298" s="932"/>
    </row>
    <row r="299" spans="1:13" s="106" customFormat="1" ht="15.75" hidden="1" customHeight="1" outlineLevel="1">
      <c r="A299" s="932"/>
      <c r="B299" s="1086"/>
      <c r="C299" s="1095"/>
      <c r="D299" s="1091"/>
      <c r="E299" s="1091"/>
      <c r="F299" s="1093"/>
      <c r="G299" s="98"/>
      <c r="H299" s="839"/>
      <c r="I299" s="1091"/>
      <c r="J299" s="1084"/>
      <c r="K299" s="1084"/>
      <c r="L299" s="932"/>
      <c r="M299" s="932"/>
    </row>
    <row r="300" spans="1:13" s="106" customFormat="1" ht="15.75" hidden="1" customHeight="1" outlineLevel="1">
      <c r="A300" s="932"/>
      <c r="B300" s="1087"/>
      <c r="C300" s="1096"/>
      <c r="D300" s="1092"/>
      <c r="E300" s="1092"/>
      <c r="F300" s="1094"/>
      <c r="G300" s="103"/>
      <c r="H300" s="840"/>
      <c r="I300" s="1092"/>
      <c r="J300" s="1085"/>
      <c r="K300" s="1085"/>
      <c r="L300" s="932"/>
      <c r="M300" s="932"/>
    </row>
    <row r="301" spans="1:13" s="106" customFormat="1" ht="15.75" hidden="1" customHeight="1" outlineLevel="1">
      <c r="A301" s="932"/>
      <c r="B301" s="1086">
        <v>97</v>
      </c>
      <c r="C301" s="1095"/>
      <c r="D301" s="1091"/>
      <c r="E301" s="1091" t="s">
        <v>20</v>
      </c>
      <c r="F301" s="1093" t="str">
        <f>VLOOKUP(E301,$N$13:$O$17,2,0)</f>
        <v>-</v>
      </c>
      <c r="G301" s="95"/>
      <c r="H301" s="839"/>
      <c r="I301" s="1091"/>
      <c r="J301" s="1083"/>
      <c r="K301" s="1083"/>
      <c r="L301" s="932"/>
      <c r="M301" s="932"/>
    </row>
    <row r="302" spans="1:13" s="106" customFormat="1" ht="15.75" hidden="1" customHeight="1" outlineLevel="1">
      <c r="A302" s="932"/>
      <c r="B302" s="1086"/>
      <c r="C302" s="1095"/>
      <c r="D302" s="1091"/>
      <c r="E302" s="1091"/>
      <c r="F302" s="1093"/>
      <c r="G302" s="98"/>
      <c r="H302" s="839"/>
      <c r="I302" s="1091"/>
      <c r="J302" s="1084"/>
      <c r="K302" s="1084"/>
      <c r="L302" s="932"/>
      <c r="M302" s="932"/>
    </row>
    <row r="303" spans="1:13" s="106" customFormat="1" ht="15.75" hidden="1" customHeight="1" outlineLevel="1">
      <c r="A303" s="932"/>
      <c r="B303" s="1087"/>
      <c r="C303" s="1096"/>
      <c r="D303" s="1092"/>
      <c r="E303" s="1092"/>
      <c r="F303" s="1094"/>
      <c r="G303" s="103"/>
      <c r="H303" s="840"/>
      <c r="I303" s="1092"/>
      <c r="J303" s="1085"/>
      <c r="K303" s="1085"/>
      <c r="L303" s="932"/>
      <c r="M303" s="932"/>
    </row>
    <row r="304" spans="1:13" s="106" customFormat="1" ht="15.75" hidden="1" customHeight="1" outlineLevel="1">
      <c r="A304" s="932"/>
      <c r="B304" s="1086">
        <v>98</v>
      </c>
      <c r="C304" s="1095"/>
      <c r="D304" s="1091"/>
      <c r="E304" s="1091" t="s">
        <v>20</v>
      </c>
      <c r="F304" s="1093" t="str">
        <f>VLOOKUP(E304,$N$13:$O$17,2,0)</f>
        <v>-</v>
      </c>
      <c r="G304" s="95"/>
      <c r="H304" s="839"/>
      <c r="I304" s="1091"/>
      <c r="J304" s="1083"/>
      <c r="K304" s="1083"/>
      <c r="L304" s="932"/>
      <c r="M304" s="932"/>
    </row>
    <row r="305" spans="1:13" s="106" customFormat="1" ht="15.75" hidden="1" customHeight="1" outlineLevel="1">
      <c r="A305" s="932"/>
      <c r="B305" s="1086"/>
      <c r="C305" s="1095"/>
      <c r="D305" s="1091"/>
      <c r="E305" s="1091"/>
      <c r="F305" s="1093"/>
      <c r="G305" s="98"/>
      <c r="H305" s="839"/>
      <c r="I305" s="1091"/>
      <c r="J305" s="1084"/>
      <c r="K305" s="1084"/>
      <c r="L305" s="932"/>
      <c r="M305" s="932"/>
    </row>
    <row r="306" spans="1:13" s="106" customFormat="1" ht="15.75" hidden="1" customHeight="1" outlineLevel="1">
      <c r="A306" s="932"/>
      <c r="B306" s="1087"/>
      <c r="C306" s="1096"/>
      <c r="D306" s="1092"/>
      <c r="E306" s="1092"/>
      <c r="F306" s="1094"/>
      <c r="G306" s="103"/>
      <c r="H306" s="840"/>
      <c r="I306" s="1092"/>
      <c r="J306" s="1085"/>
      <c r="K306" s="1085"/>
      <c r="L306" s="932"/>
      <c r="M306" s="932"/>
    </row>
    <row r="307" spans="1:13" s="106" customFormat="1" ht="15.75" hidden="1" customHeight="1" outlineLevel="1">
      <c r="A307" s="932"/>
      <c r="B307" s="1086">
        <v>99</v>
      </c>
      <c r="C307" s="1095"/>
      <c r="D307" s="1091"/>
      <c r="E307" s="1091" t="s">
        <v>20</v>
      </c>
      <c r="F307" s="1093" t="str">
        <f>VLOOKUP(E307,$N$13:$O$17,2,0)</f>
        <v>-</v>
      </c>
      <c r="G307" s="95"/>
      <c r="H307" s="839"/>
      <c r="I307" s="1091"/>
      <c r="J307" s="1083"/>
      <c r="K307" s="1083"/>
      <c r="L307" s="932"/>
      <c r="M307" s="932"/>
    </row>
    <row r="308" spans="1:13" s="106" customFormat="1" ht="15.75" hidden="1" customHeight="1" outlineLevel="1">
      <c r="A308" s="932"/>
      <c r="B308" s="1086"/>
      <c r="C308" s="1095"/>
      <c r="D308" s="1091"/>
      <c r="E308" s="1091"/>
      <c r="F308" s="1093"/>
      <c r="G308" s="98"/>
      <c r="H308" s="839"/>
      <c r="I308" s="1091"/>
      <c r="J308" s="1084"/>
      <c r="K308" s="1084"/>
      <c r="L308" s="932"/>
      <c r="M308" s="932"/>
    </row>
    <row r="309" spans="1:13" s="106" customFormat="1" ht="15.75" hidden="1" customHeight="1" outlineLevel="1">
      <c r="A309" s="932"/>
      <c r="B309" s="1087"/>
      <c r="C309" s="1096"/>
      <c r="D309" s="1092"/>
      <c r="E309" s="1092"/>
      <c r="F309" s="1094"/>
      <c r="G309" s="103"/>
      <c r="H309" s="840"/>
      <c r="I309" s="1092"/>
      <c r="J309" s="1085"/>
      <c r="K309" s="1085"/>
      <c r="L309" s="932"/>
      <c r="M309" s="932"/>
    </row>
    <row r="310" spans="1:13" s="106" customFormat="1" ht="15.75" hidden="1" customHeight="1" outlineLevel="1">
      <c r="A310" s="932"/>
      <c r="B310" s="1086">
        <v>100</v>
      </c>
      <c r="C310" s="1095"/>
      <c r="D310" s="1091"/>
      <c r="E310" s="1091" t="s">
        <v>20</v>
      </c>
      <c r="F310" s="1093" t="str">
        <f>VLOOKUP(E310,$N$13:$O$17,2,0)</f>
        <v>-</v>
      </c>
      <c r="G310" s="95"/>
      <c r="H310" s="839"/>
      <c r="I310" s="1091"/>
      <c r="J310" s="1083"/>
      <c r="K310" s="1083"/>
      <c r="L310" s="932"/>
      <c r="M310" s="932"/>
    </row>
    <row r="311" spans="1:13" s="106" customFormat="1" ht="15.75" hidden="1" customHeight="1" outlineLevel="1">
      <c r="A311" s="932"/>
      <c r="B311" s="1086"/>
      <c r="C311" s="1095"/>
      <c r="D311" s="1091"/>
      <c r="E311" s="1091"/>
      <c r="F311" s="1093"/>
      <c r="G311" s="98"/>
      <c r="H311" s="839"/>
      <c r="I311" s="1091"/>
      <c r="J311" s="1084"/>
      <c r="K311" s="1084"/>
      <c r="L311" s="932"/>
      <c r="M311" s="932"/>
    </row>
    <row r="312" spans="1:13" s="106" customFormat="1" ht="15.75" hidden="1" customHeight="1" outlineLevel="1">
      <c r="A312" s="932"/>
      <c r="B312" s="1087"/>
      <c r="C312" s="1096"/>
      <c r="D312" s="1092"/>
      <c r="E312" s="1092"/>
      <c r="F312" s="1094"/>
      <c r="G312" s="103"/>
      <c r="H312" s="840"/>
      <c r="I312" s="1092"/>
      <c r="J312" s="1085"/>
      <c r="K312" s="1085"/>
      <c r="L312" s="932"/>
      <c r="M312" s="932"/>
    </row>
    <row r="313" spans="1:13" s="106" customFormat="1" ht="15.75" hidden="1" customHeight="1" outlineLevel="1">
      <c r="A313" s="932"/>
      <c r="B313" s="1086">
        <v>101</v>
      </c>
      <c r="C313" s="1095"/>
      <c r="D313" s="1091"/>
      <c r="E313" s="1091" t="s">
        <v>20</v>
      </c>
      <c r="F313" s="1093" t="str">
        <f>VLOOKUP(E313,$N$13:$O$17,2,0)</f>
        <v>-</v>
      </c>
      <c r="G313" s="95"/>
      <c r="H313" s="839"/>
      <c r="I313" s="1091"/>
      <c r="J313" s="1083"/>
      <c r="K313" s="1083"/>
      <c r="L313" s="932"/>
      <c r="M313" s="932"/>
    </row>
    <row r="314" spans="1:13" s="106" customFormat="1" ht="15.75" hidden="1" customHeight="1" outlineLevel="1">
      <c r="A314" s="932"/>
      <c r="B314" s="1086"/>
      <c r="C314" s="1095"/>
      <c r="D314" s="1091"/>
      <c r="E314" s="1091"/>
      <c r="F314" s="1093"/>
      <c r="G314" s="98"/>
      <c r="H314" s="839"/>
      <c r="I314" s="1091"/>
      <c r="J314" s="1084"/>
      <c r="K314" s="1084"/>
      <c r="L314" s="932"/>
      <c r="M314" s="932"/>
    </row>
    <row r="315" spans="1:13" s="106" customFormat="1" ht="15.75" hidden="1" customHeight="1" outlineLevel="1">
      <c r="A315" s="932"/>
      <c r="B315" s="1087"/>
      <c r="C315" s="1096"/>
      <c r="D315" s="1092"/>
      <c r="E315" s="1092"/>
      <c r="F315" s="1094"/>
      <c r="G315" s="103"/>
      <c r="H315" s="840"/>
      <c r="I315" s="1092"/>
      <c r="J315" s="1085"/>
      <c r="K315" s="1085"/>
      <c r="L315" s="932"/>
      <c r="M315" s="932"/>
    </row>
    <row r="316" spans="1:13" s="106" customFormat="1" ht="15.75" hidden="1" customHeight="1" outlineLevel="1">
      <c r="A316" s="932"/>
      <c r="B316" s="1086">
        <v>102</v>
      </c>
      <c r="C316" s="1095"/>
      <c r="D316" s="1091"/>
      <c r="E316" s="1091" t="s">
        <v>20</v>
      </c>
      <c r="F316" s="1093" t="str">
        <f>VLOOKUP(E316,$N$13:$O$17,2,0)</f>
        <v>-</v>
      </c>
      <c r="G316" s="95"/>
      <c r="H316" s="839"/>
      <c r="I316" s="1091"/>
      <c r="J316" s="1083"/>
      <c r="K316" s="1083"/>
      <c r="L316" s="932"/>
      <c r="M316" s="932"/>
    </row>
    <row r="317" spans="1:13" s="106" customFormat="1" ht="15.75" hidden="1" customHeight="1" outlineLevel="1">
      <c r="A317" s="932"/>
      <c r="B317" s="1086"/>
      <c r="C317" s="1095"/>
      <c r="D317" s="1091"/>
      <c r="E317" s="1091"/>
      <c r="F317" s="1093"/>
      <c r="G317" s="98"/>
      <c r="H317" s="839"/>
      <c r="I317" s="1091"/>
      <c r="J317" s="1084"/>
      <c r="K317" s="1084"/>
      <c r="L317" s="932"/>
      <c r="M317" s="932"/>
    </row>
    <row r="318" spans="1:13" s="106" customFormat="1" ht="15.75" hidden="1" customHeight="1" outlineLevel="1">
      <c r="A318" s="932"/>
      <c r="B318" s="1087"/>
      <c r="C318" s="1096"/>
      <c r="D318" s="1092"/>
      <c r="E318" s="1092"/>
      <c r="F318" s="1094"/>
      <c r="G318" s="103"/>
      <c r="H318" s="840"/>
      <c r="I318" s="1092"/>
      <c r="J318" s="1085"/>
      <c r="K318" s="1085"/>
      <c r="L318" s="932"/>
      <c r="M318" s="932"/>
    </row>
    <row r="319" spans="1:13" s="106" customFormat="1" ht="15.75" hidden="1" customHeight="1" outlineLevel="1">
      <c r="A319" s="932"/>
      <c r="B319" s="1086">
        <v>103</v>
      </c>
      <c r="C319" s="1095"/>
      <c r="D319" s="1091"/>
      <c r="E319" s="1091" t="s">
        <v>20</v>
      </c>
      <c r="F319" s="1093" t="str">
        <f>VLOOKUP(E319,$N$13:$O$17,2,0)</f>
        <v>-</v>
      </c>
      <c r="G319" s="95"/>
      <c r="H319" s="839"/>
      <c r="I319" s="1091"/>
      <c r="J319" s="1083"/>
      <c r="K319" s="1083"/>
      <c r="L319" s="932"/>
      <c r="M319" s="932"/>
    </row>
    <row r="320" spans="1:13" s="106" customFormat="1" ht="15.75" hidden="1" customHeight="1" outlineLevel="1">
      <c r="A320" s="932"/>
      <c r="B320" s="1086"/>
      <c r="C320" s="1095"/>
      <c r="D320" s="1091"/>
      <c r="E320" s="1091"/>
      <c r="F320" s="1093"/>
      <c r="G320" s="98"/>
      <c r="H320" s="839"/>
      <c r="I320" s="1091"/>
      <c r="J320" s="1084"/>
      <c r="K320" s="1084"/>
      <c r="L320" s="932"/>
      <c r="M320" s="932"/>
    </row>
    <row r="321" spans="1:13" s="106" customFormat="1" ht="15.75" hidden="1" customHeight="1" outlineLevel="1">
      <c r="A321" s="932"/>
      <c r="B321" s="1087"/>
      <c r="C321" s="1096"/>
      <c r="D321" s="1092"/>
      <c r="E321" s="1092"/>
      <c r="F321" s="1094"/>
      <c r="G321" s="103"/>
      <c r="H321" s="840"/>
      <c r="I321" s="1092"/>
      <c r="J321" s="1085"/>
      <c r="K321" s="1085"/>
      <c r="L321" s="932"/>
      <c r="M321" s="932"/>
    </row>
    <row r="322" spans="1:13" s="106" customFormat="1" ht="15.75" hidden="1" customHeight="1" outlineLevel="1">
      <c r="A322" s="932"/>
      <c r="B322" s="1086">
        <v>104</v>
      </c>
      <c r="C322" s="1095"/>
      <c r="D322" s="1091"/>
      <c r="E322" s="1091" t="s">
        <v>20</v>
      </c>
      <c r="F322" s="1093" t="str">
        <f>VLOOKUP(E322,$N$13:$O$17,2,0)</f>
        <v>-</v>
      </c>
      <c r="G322" s="95"/>
      <c r="H322" s="839"/>
      <c r="I322" s="1091"/>
      <c r="J322" s="1083"/>
      <c r="K322" s="1083"/>
      <c r="L322" s="932"/>
      <c r="M322" s="932"/>
    </row>
    <row r="323" spans="1:13" s="106" customFormat="1" ht="15.75" hidden="1" customHeight="1" outlineLevel="1">
      <c r="A323" s="932"/>
      <c r="B323" s="1086"/>
      <c r="C323" s="1095"/>
      <c r="D323" s="1091"/>
      <c r="E323" s="1091"/>
      <c r="F323" s="1093"/>
      <c r="G323" s="98"/>
      <c r="H323" s="839"/>
      <c r="I323" s="1091"/>
      <c r="J323" s="1084"/>
      <c r="K323" s="1084"/>
      <c r="L323" s="932"/>
      <c r="M323" s="932"/>
    </row>
    <row r="324" spans="1:13" s="106" customFormat="1" ht="15.75" hidden="1" customHeight="1" outlineLevel="1">
      <c r="A324" s="932"/>
      <c r="B324" s="1087"/>
      <c r="C324" s="1096"/>
      <c r="D324" s="1092"/>
      <c r="E324" s="1092"/>
      <c r="F324" s="1094"/>
      <c r="G324" s="103"/>
      <c r="H324" s="840"/>
      <c r="I324" s="1092"/>
      <c r="J324" s="1085"/>
      <c r="K324" s="1085"/>
      <c r="L324" s="932"/>
      <c r="M324" s="932"/>
    </row>
    <row r="325" spans="1:13" s="106" customFormat="1" ht="15.75" hidden="1" customHeight="1" outlineLevel="1">
      <c r="A325" s="932"/>
      <c r="B325" s="1086">
        <v>105</v>
      </c>
      <c r="C325" s="1095"/>
      <c r="D325" s="1091"/>
      <c r="E325" s="1091" t="s">
        <v>20</v>
      </c>
      <c r="F325" s="1093" t="str">
        <f>VLOOKUP(E325,$N$13:$O$17,2,0)</f>
        <v>-</v>
      </c>
      <c r="G325" s="95"/>
      <c r="H325" s="839"/>
      <c r="I325" s="1091"/>
      <c r="J325" s="1083"/>
      <c r="K325" s="1083"/>
      <c r="L325" s="932"/>
      <c r="M325" s="932"/>
    </row>
    <row r="326" spans="1:13" s="106" customFormat="1" ht="15.75" hidden="1" customHeight="1" outlineLevel="1">
      <c r="A326" s="932"/>
      <c r="B326" s="1086"/>
      <c r="C326" s="1095"/>
      <c r="D326" s="1091"/>
      <c r="E326" s="1091"/>
      <c r="F326" s="1093"/>
      <c r="G326" s="98"/>
      <c r="H326" s="839"/>
      <c r="I326" s="1091"/>
      <c r="J326" s="1084"/>
      <c r="K326" s="1084"/>
      <c r="L326" s="932"/>
      <c r="M326" s="932"/>
    </row>
    <row r="327" spans="1:13" s="106" customFormat="1" ht="15.75" hidden="1" customHeight="1" outlineLevel="1">
      <c r="A327" s="932"/>
      <c r="B327" s="1087"/>
      <c r="C327" s="1096"/>
      <c r="D327" s="1092"/>
      <c r="E327" s="1092"/>
      <c r="F327" s="1094"/>
      <c r="G327" s="103"/>
      <c r="H327" s="840"/>
      <c r="I327" s="1092"/>
      <c r="J327" s="1085"/>
      <c r="K327" s="1085"/>
      <c r="L327" s="932"/>
      <c r="M327" s="932"/>
    </row>
    <row r="328" spans="1:13" s="106" customFormat="1" ht="15.75" hidden="1" customHeight="1" outlineLevel="1">
      <c r="A328" s="932"/>
      <c r="B328" s="1086">
        <v>106</v>
      </c>
      <c r="C328" s="1095"/>
      <c r="D328" s="1091"/>
      <c r="E328" s="1091" t="s">
        <v>20</v>
      </c>
      <c r="F328" s="1093" t="str">
        <f>VLOOKUP(E328,$N$13:$O$17,2,0)</f>
        <v>-</v>
      </c>
      <c r="G328" s="95"/>
      <c r="H328" s="839"/>
      <c r="I328" s="1091"/>
      <c r="J328" s="1083"/>
      <c r="K328" s="1083"/>
      <c r="L328" s="932"/>
      <c r="M328" s="932"/>
    </row>
    <row r="329" spans="1:13" s="106" customFormat="1" ht="15.75" hidden="1" customHeight="1" outlineLevel="1">
      <c r="A329" s="932"/>
      <c r="B329" s="1086"/>
      <c r="C329" s="1095"/>
      <c r="D329" s="1091"/>
      <c r="E329" s="1091"/>
      <c r="F329" s="1093"/>
      <c r="G329" s="98"/>
      <c r="H329" s="839"/>
      <c r="I329" s="1091"/>
      <c r="J329" s="1084"/>
      <c r="K329" s="1084"/>
      <c r="L329" s="932"/>
      <c r="M329" s="932"/>
    </row>
    <row r="330" spans="1:13" s="106" customFormat="1" ht="15.75" hidden="1" customHeight="1" outlineLevel="1">
      <c r="A330" s="932"/>
      <c r="B330" s="1087"/>
      <c r="C330" s="1096"/>
      <c r="D330" s="1092"/>
      <c r="E330" s="1092"/>
      <c r="F330" s="1094"/>
      <c r="G330" s="103"/>
      <c r="H330" s="840"/>
      <c r="I330" s="1092"/>
      <c r="J330" s="1085"/>
      <c r="K330" s="1085"/>
      <c r="L330" s="932"/>
      <c r="M330" s="932"/>
    </row>
    <row r="331" spans="1:13" s="106" customFormat="1" ht="15.75" hidden="1" customHeight="1" outlineLevel="1">
      <c r="A331" s="932"/>
      <c r="B331" s="1086">
        <v>107</v>
      </c>
      <c r="C331" s="1095"/>
      <c r="D331" s="1091"/>
      <c r="E331" s="1091" t="s">
        <v>20</v>
      </c>
      <c r="F331" s="1093" t="str">
        <f>VLOOKUP(E331,$N$13:$O$17,2,0)</f>
        <v>-</v>
      </c>
      <c r="G331" s="95"/>
      <c r="H331" s="839"/>
      <c r="I331" s="1091"/>
      <c r="J331" s="1083"/>
      <c r="K331" s="1083"/>
      <c r="L331" s="932"/>
      <c r="M331" s="932"/>
    </row>
    <row r="332" spans="1:13" s="106" customFormat="1" ht="15.75" hidden="1" customHeight="1" outlineLevel="1">
      <c r="A332" s="932"/>
      <c r="B332" s="1086"/>
      <c r="C332" s="1095"/>
      <c r="D332" s="1091"/>
      <c r="E332" s="1091"/>
      <c r="F332" s="1093"/>
      <c r="G332" s="98"/>
      <c r="H332" s="839"/>
      <c r="I332" s="1091"/>
      <c r="J332" s="1084"/>
      <c r="K332" s="1084"/>
      <c r="L332" s="932"/>
      <c r="M332" s="932"/>
    </row>
    <row r="333" spans="1:13" s="106" customFormat="1" ht="15.75" hidden="1" customHeight="1" outlineLevel="1">
      <c r="A333" s="932"/>
      <c r="B333" s="1087"/>
      <c r="C333" s="1096"/>
      <c r="D333" s="1092"/>
      <c r="E333" s="1092"/>
      <c r="F333" s="1094"/>
      <c r="G333" s="103"/>
      <c r="H333" s="840"/>
      <c r="I333" s="1092"/>
      <c r="J333" s="1085"/>
      <c r="K333" s="1085"/>
      <c r="L333" s="932"/>
      <c r="M333" s="932"/>
    </row>
    <row r="334" spans="1:13" s="106" customFormat="1" ht="15.75" hidden="1" customHeight="1" outlineLevel="1">
      <c r="A334" s="932"/>
      <c r="B334" s="1086">
        <v>108</v>
      </c>
      <c r="C334" s="1095"/>
      <c r="D334" s="1091"/>
      <c r="E334" s="1091" t="s">
        <v>20</v>
      </c>
      <c r="F334" s="1093" t="str">
        <f>VLOOKUP(E334,$N$13:$O$17,2,0)</f>
        <v>-</v>
      </c>
      <c r="G334" s="95"/>
      <c r="H334" s="839"/>
      <c r="I334" s="1091"/>
      <c r="J334" s="1083"/>
      <c r="K334" s="1083"/>
      <c r="L334" s="932"/>
      <c r="M334" s="932"/>
    </row>
    <row r="335" spans="1:13" s="106" customFormat="1" ht="15.75" hidden="1" customHeight="1" outlineLevel="1">
      <c r="A335" s="932"/>
      <c r="B335" s="1086"/>
      <c r="C335" s="1095"/>
      <c r="D335" s="1091"/>
      <c r="E335" s="1091"/>
      <c r="F335" s="1093"/>
      <c r="G335" s="98"/>
      <c r="H335" s="839"/>
      <c r="I335" s="1091"/>
      <c r="J335" s="1084"/>
      <c r="K335" s="1084"/>
      <c r="L335" s="932"/>
      <c r="M335" s="932"/>
    </row>
    <row r="336" spans="1:13" s="106" customFormat="1" ht="15.75" hidden="1" customHeight="1" outlineLevel="1">
      <c r="A336" s="932"/>
      <c r="B336" s="1087"/>
      <c r="C336" s="1096"/>
      <c r="D336" s="1092"/>
      <c r="E336" s="1092"/>
      <c r="F336" s="1094"/>
      <c r="G336" s="103"/>
      <c r="H336" s="840"/>
      <c r="I336" s="1092"/>
      <c r="J336" s="1085"/>
      <c r="K336" s="1085"/>
      <c r="L336" s="932"/>
      <c r="M336" s="932"/>
    </row>
    <row r="337" spans="1:13" s="106" customFormat="1" ht="15.75" hidden="1" customHeight="1" outlineLevel="1">
      <c r="A337" s="932"/>
      <c r="B337" s="1086">
        <v>109</v>
      </c>
      <c r="C337" s="1095"/>
      <c r="D337" s="1091"/>
      <c r="E337" s="1091" t="s">
        <v>20</v>
      </c>
      <c r="F337" s="1093" t="str">
        <f>VLOOKUP(E337,$N$13:$O$17,2,0)</f>
        <v>-</v>
      </c>
      <c r="G337" s="95"/>
      <c r="H337" s="839"/>
      <c r="I337" s="1091"/>
      <c r="J337" s="1083"/>
      <c r="K337" s="1083"/>
      <c r="L337" s="932"/>
      <c r="M337" s="932"/>
    </row>
    <row r="338" spans="1:13" s="106" customFormat="1" ht="15.75" hidden="1" customHeight="1" outlineLevel="1">
      <c r="A338" s="932"/>
      <c r="B338" s="1086"/>
      <c r="C338" s="1095"/>
      <c r="D338" s="1091"/>
      <c r="E338" s="1091"/>
      <c r="F338" s="1093"/>
      <c r="G338" s="98"/>
      <c r="H338" s="839"/>
      <c r="I338" s="1091"/>
      <c r="J338" s="1084"/>
      <c r="K338" s="1084"/>
      <c r="L338" s="932"/>
      <c r="M338" s="932"/>
    </row>
    <row r="339" spans="1:13" s="106" customFormat="1" ht="15.75" hidden="1" customHeight="1" outlineLevel="1">
      <c r="A339" s="932"/>
      <c r="B339" s="1087"/>
      <c r="C339" s="1096"/>
      <c r="D339" s="1092"/>
      <c r="E339" s="1092"/>
      <c r="F339" s="1094"/>
      <c r="G339" s="103"/>
      <c r="H339" s="840"/>
      <c r="I339" s="1092"/>
      <c r="J339" s="1085"/>
      <c r="K339" s="1085"/>
      <c r="L339" s="932"/>
      <c r="M339" s="932"/>
    </row>
    <row r="340" spans="1:13" s="106" customFormat="1" ht="15.75" hidden="1" customHeight="1" outlineLevel="1">
      <c r="A340" s="932"/>
      <c r="B340" s="1086">
        <v>110</v>
      </c>
      <c r="C340" s="1095"/>
      <c r="D340" s="1091"/>
      <c r="E340" s="1091" t="s">
        <v>20</v>
      </c>
      <c r="F340" s="1093" t="str">
        <f>VLOOKUP(E340,$N$13:$O$17,2,0)</f>
        <v>-</v>
      </c>
      <c r="G340" s="95"/>
      <c r="H340" s="839"/>
      <c r="I340" s="1091"/>
      <c r="J340" s="1083"/>
      <c r="K340" s="1083"/>
      <c r="L340" s="932"/>
      <c r="M340" s="932"/>
    </row>
    <row r="341" spans="1:13" s="106" customFormat="1" ht="15.75" hidden="1" customHeight="1" outlineLevel="1">
      <c r="A341" s="932"/>
      <c r="B341" s="1086"/>
      <c r="C341" s="1095"/>
      <c r="D341" s="1091"/>
      <c r="E341" s="1091"/>
      <c r="F341" s="1093"/>
      <c r="G341" s="98"/>
      <c r="H341" s="839"/>
      <c r="I341" s="1091"/>
      <c r="J341" s="1084"/>
      <c r="K341" s="1084"/>
      <c r="L341" s="932"/>
      <c r="M341" s="932"/>
    </row>
    <row r="342" spans="1:13" s="106" customFormat="1" ht="15.75" hidden="1" customHeight="1" outlineLevel="1">
      <c r="A342" s="932"/>
      <c r="B342" s="1087"/>
      <c r="C342" s="1096"/>
      <c r="D342" s="1092"/>
      <c r="E342" s="1092"/>
      <c r="F342" s="1094"/>
      <c r="G342" s="103"/>
      <c r="H342" s="840"/>
      <c r="I342" s="1092"/>
      <c r="J342" s="1085"/>
      <c r="K342" s="1085"/>
      <c r="L342" s="932"/>
      <c r="M342" s="932"/>
    </row>
    <row r="343" spans="1:13" s="106" customFormat="1" ht="15.75" hidden="1" customHeight="1" outlineLevel="1">
      <c r="A343" s="932"/>
      <c r="B343" s="1086">
        <v>111</v>
      </c>
      <c r="C343" s="1095"/>
      <c r="D343" s="1091"/>
      <c r="E343" s="1091" t="s">
        <v>20</v>
      </c>
      <c r="F343" s="1093" t="str">
        <f>VLOOKUP(E343,$N$13:$O$17,2,0)</f>
        <v>-</v>
      </c>
      <c r="G343" s="95"/>
      <c r="H343" s="839"/>
      <c r="I343" s="1091"/>
      <c r="J343" s="1083"/>
      <c r="K343" s="1083"/>
      <c r="L343" s="932"/>
      <c r="M343" s="932"/>
    </row>
    <row r="344" spans="1:13" s="106" customFormat="1" ht="15.75" hidden="1" customHeight="1" outlineLevel="1">
      <c r="A344" s="932"/>
      <c r="B344" s="1086"/>
      <c r="C344" s="1095"/>
      <c r="D344" s="1091"/>
      <c r="E344" s="1091"/>
      <c r="F344" s="1093"/>
      <c r="G344" s="98"/>
      <c r="H344" s="839"/>
      <c r="I344" s="1091"/>
      <c r="J344" s="1084"/>
      <c r="K344" s="1084"/>
      <c r="L344" s="932"/>
      <c r="M344" s="932"/>
    </row>
    <row r="345" spans="1:13" s="106" customFormat="1" ht="15.75" hidden="1" customHeight="1" outlineLevel="1">
      <c r="A345" s="932"/>
      <c r="B345" s="1087"/>
      <c r="C345" s="1096"/>
      <c r="D345" s="1092"/>
      <c r="E345" s="1092"/>
      <c r="F345" s="1094"/>
      <c r="G345" s="103"/>
      <c r="H345" s="840"/>
      <c r="I345" s="1092"/>
      <c r="J345" s="1085"/>
      <c r="K345" s="1085"/>
      <c r="L345" s="932"/>
      <c r="M345" s="932"/>
    </row>
    <row r="346" spans="1:13" s="106" customFormat="1" ht="15.75" hidden="1" customHeight="1" outlineLevel="1">
      <c r="A346" s="932"/>
      <c r="B346" s="1086">
        <v>112</v>
      </c>
      <c r="C346" s="1095"/>
      <c r="D346" s="1091"/>
      <c r="E346" s="1091" t="s">
        <v>20</v>
      </c>
      <c r="F346" s="1093" t="str">
        <f>VLOOKUP(E346,$N$13:$O$17,2,0)</f>
        <v>-</v>
      </c>
      <c r="G346" s="95"/>
      <c r="H346" s="839"/>
      <c r="I346" s="1091"/>
      <c r="J346" s="1083"/>
      <c r="K346" s="1083"/>
      <c r="L346" s="932"/>
      <c r="M346" s="932"/>
    </row>
    <row r="347" spans="1:13" s="106" customFormat="1" ht="15.75" hidden="1" customHeight="1" outlineLevel="1">
      <c r="A347" s="932"/>
      <c r="B347" s="1086"/>
      <c r="C347" s="1095"/>
      <c r="D347" s="1091"/>
      <c r="E347" s="1091"/>
      <c r="F347" s="1093"/>
      <c r="G347" s="98"/>
      <c r="H347" s="839"/>
      <c r="I347" s="1091"/>
      <c r="J347" s="1084"/>
      <c r="K347" s="1084"/>
      <c r="L347" s="932"/>
      <c r="M347" s="932"/>
    </row>
    <row r="348" spans="1:13" s="106" customFormat="1" ht="15.75" hidden="1" customHeight="1" outlineLevel="1">
      <c r="A348" s="932"/>
      <c r="B348" s="1087"/>
      <c r="C348" s="1096"/>
      <c r="D348" s="1092"/>
      <c r="E348" s="1092"/>
      <c r="F348" s="1094"/>
      <c r="G348" s="103"/>
      <c r="H348" s="840"/>
      <c r="I348" s="1092"/>
      <c r="J348" s="1085"/>
      <c r="K348" s="1085"/>
      <c r="L348" s="932"/>
      <c r="M348" s="932"/>
    </row>
    <row r="349" spans="1:13" s="106" customFormat="1" ht="15.75" hidden="1" customHeight="1" outlineLevel="1">
      <c r="A349" s="932"/>
      <c r="B349" s="1086">
        <v>113</v>
      </c>
      <c r="C349" s="1095"/>
      <c r="D349" s="1091"/>
      <c r="E349" s="1091" t="s">
        <v>20</v>
      </c>
      <c r="F349" s="1093" t="str">
        <f>VLOOKUP(E349,$N$13:$O$17,2,0)</f>
        <v>-</v>
      </c>
      <c r="G349" s="95"/>
      <c r="H349" s="839"/>
      <c r="I349" s="1091"/>
      <c r="J349" s="1083"/>
      <c r="K349" s="1083"/>
      <c r="L349" s="932"/>
      <c r="M349" s="932"/>
    </row>
    <row r="350" spans="1:13" s="106" customFormat="1" ht="15.75" hidden="1" customHeight="1" outlineLevel="1">
      <c r="A350" s="932"/>
      <c r="B350" s="1086"/>
      <c r="C350" s="1095"/>
      <c r="D350" s="1091"/>
      <c r="E350" s="1091"/>
      <c r="F350" s="1093"/>
      <c r="G350" s="98"/>
      <c r="H350" s="839"/>
      <c r="I350" s="1091"/>
      <c r="J350" s="1084"/>
      <c r="K350" s="1084"/>
      <c r="L350" s="932"/>
      <c r="M350" s="932"/>
    </row>
    <row r="351" spans="1:13" s="106" customFormat="1" ht="15.75" hidden="1" customHeight="1" outlineLevel="1">
      <c r="A351" s="932"/>
      <c r="B351" s="1087"/>
      <c r="C351" s="1096"/>
      <c r="D351" s="1092"/>
      <c r="E351" s="1092"/>
      <c r="F351" s="1094"/>
      <c r="G351" s="103"/>
      <c r="H351" s="840"/>
      <c r="I351" s="1092"/>
      <c r="J351" s="1085"/>
      <c r="K351" s="1085"/>
      <c r="L351" s="932"/>
      <c r="M351" s="932"/>
    </row>
    <row r="352" spans="1:13" s="106" customFormat="1" ht="15.75" hidden="1" customHeight="1" outlineLevel="1">
      <c r="A352" s="932"/>
      <c r="B352" s="1086">
        <v>114</v>
      </c>
      <c r="C352" s="1095"/>
      <c r="D352" s="1091"/>
      <c r="E352" s="1091" t="s">
        <v>20</v>
      </c>
      <c r="F352" s="1093" t="str">
        <f>VLOOKUP(E352,$N$13:$O$17,2,0)</f>
        <v>-</v>
      </c>
      <c r="G352" s="95"/>
      <c r="H352" s="839"/>
      <c r="I352" s="1091"/>
      <c r="J352" s="1083"/>
      <c r="K352" s="1083"/>
      <c r="L352" s="932"/>
      <c r="M352" s="932"/>
    </row>
    <row r="353" spans="1:13" s="106" customFormat="1" ht="15.75" hidden="1" customHeight="1" outlineLevel="1">
      <c r="A353" s="932"/>
      <c r="B353" s="1086"/>
      <c r="C353" s="1095"/>
      <c r="D353" s="1091"/>
      <c r="E353" s="1091"/>
      <c r="F353" s="1093"/>
      <c r="G353" s="98"/>
      <c r="H353" s="839"/>
      <c r="I353" s="1091"/>
      <c r="J353" s="1084"/>
      <c r="K353" s="1084"/>
      <c r="L353" s="932"/>
      <c r="M353" s="932"/>
    </row>
    <row r="354" spans="1:13" s="106" customFormat="1" ht="15.75" hidden="1" customHeight="1" outlineLevel="1">
      <c r="A354" s="932"/>
      <c r="B354" s="1087"/>
      <c r="C354" s="1096"/>
      <c r="D354" s="1092"/>
      <c r="E354" s="1092"/>
      <c r="F354" s="1094"/>
      <c r="G354" s="103"/>
      <c r="H354" s="840"/>
      <c r="I354" s="1092"/>
      <c r="J354" s="1085"/>
      <c r="K354" s="1085"/>
      <c r="L354" s="932"/>
      <c r="M354" s="932"/>
    </row>
    <row r="355" spans="1:13" s="106" customFormat="1" ht="15.75" hidden="1" customHeight="1" outlineLevel="1">
      <c r="A355" s="932"/>
      <c r="B355" s="1086">
        <v>115</v>
      </c>
      <c r="C355" s="1095"/>
      <c r="D355" s="1091"/>
      <c r="E355" s="1091" t="s">
        <v>20</v>
      </c>
      <c r="F355" s="1093" t="str">
        <f>VLOOKUP(E355,$N$13:$O$17,2,0)</f>
        <v>-</v>
      </c>
      <c r="G355" s="95"/>
      <c r="H355" s="839"/>
      <c r="I355" s="1091"/>
      <c r="J355" s="1083"/>
      <c r="K355" s="1083"/>
      <c r="L355" s="932"/>
      <c r="M355" s="932"/>
    </row>
    <row r="356" spans="1:13" s="106" customFormat="1" ht="15.75" hidden="1" customHeight="1" outlineLevel="1">
      <c r="A356" s="932"/>
      <c r="B356" s="1086"/>
      <c r="C356" s="1095"/>
      <c r="D356" s="1091"/>
      <c r="E356" s="1091"/>
      <c r="F356" s="1093"/>
      <c r="G356" s="98"/>
      <c r="H356" s="839"/>
      <c r="I356" s="1091"/>
      <c r="J356" s="1084"/>
      <c r="K356" s="1084"/>
      <c r="L356" s="932"/>
      <c r="M356" s="932"/>
    </row>
    <row r="357" spans="1:13" s="106" customFormat="1" ht="15.75" hidden="1" customHeight="1" outlineLevel="1">
      <c r="A357" s="932"/>
      <c r="B357" s="1087"/>
      <c r="C357" s="1096"/>
      <c r="D357" s="1092"/>
      <c r="E357" s="1092"/>
      <c r="F357" s="1094"/>
      <c r="G357" s="103"/>
      <c r="H357" s="840"/>
      <c r="I357" s="1092"/>
      <c r="J357" s="1085"/>
      <c r="K357" s="1085"/>
      <c r="L357" s="932"/>
      <c r="M357" s="932"/>
    </row>
    <row r="358" spans="1:13" s="106" customFormat="1" ht="15.75" hidden="1" customHeight="1" outlineLevel="1">
      <c r="A358" s="932"/>
      <c r="B358" s="1086">
        <v>116</v>
      </c>
      <c r="C358" s="1095"/>
      <c r="D358" s="1091"/>
      <c r="E358" s="1091" t="s">
        <v>20</v>
      </c>
      <c r="F358" s="1093" t="str">
        <f>VLOOKUP(E358,$N$13:$O$17,2,0)</f>
        <v>-</v>
      </c>
      <c r="G358" s="95"/>
      <c r="H358" s="839"/>
      <c r="I358" s="1091"/>
      <c r="J358" s="1083"/>
      <c r="K358" s="1083"/>
      <c r="L358" s="932"/>
      <c r="M358" s="932"/>
    </row>
    <row r="359" spans="1:13" s="106" customFormat="1" ht="15.75" hidden="1" customHeight="1" outlineLevel="1">
      <c r="A359" s="932"/>
      <c r="B359" s="1086"/>
      <c r="C359" s="1095"/>
      <c r="D359" s="1091"/>
      <c r="E359" s="1091"/>
      <c r="F359" s="1093"/>
      <c r="G359" s="98"/>
      <c r="H359" s="839"/>
      <c r="I359" s="1091"/>
      <c r="J359" s="1084"/>
      <c r="K359" s="1084"/>
      <c r="L359" s="932"/>
      <c r="M359" s="932"/>
    </row>
    <row r="360" spans="1:13" s="106" customFormat="1" ht="15.75" hidden="1" customHeight="1" outlineLevel="1">
      <c r="A360" s="932"/>
      <c r="B360" s="1087"/>
      <c r="C360" s="1096"/>
      <c r="D360" s="1092"/>
      <c r="E360" s="1092"/>
      <c r="F360" s="1094"/>
      <c r="G360" s="103"/>
      <c r="H360" s="840"/>
      <c r="I360" s="1092"/>
      <c r="J360" s="1085"/>
      <c r="K360" s="1085"/>
      <c r="L360" s="932"/>
      <c r="M360" s="932"/>
    </row>
    <row r="361" spans="1:13" s="106" customFormat="1" ht="15.75" hidden="1" customHeight="1" outlineLevel="1">
      <c r="A361" s="932"/>
      <c r="B361" s="1086">
        <v>117</v>
      </c>
      <c r="C361" s="1095"/>
      <c r="D361" s="1091"/>
      <c r="E361" s="1091" t="s">
        <v>20</v>
      </c>
      <c r="F361" s="1093" t="str">
        <f>VLOOKUP(E361,$N$13:$O$17,2,0)</f>
        <v>-</v>
      </c>
      <c r="G361" s="95"/>
      <c r="H361" s="839"/>
      <c r="I361" s="1091"/>
      <c r="J361" s="1083"/>
      <c r="K361" s="1083"/>
      <c r="L361" s="932"/>
      <c r="M361" s="932"/>
    </row>
    <row r="362" spans="1:13" s="106" customFormat="1" ht="15.75" hidden="1" customHeight="1" outlineLevel="1">
      <c r="A362" s="932"/>
      <c r="B362" s="1086"/>
      <c r="C362" s="1095"/>
      <c r="D362" s="1091"/>
      <c r="E362" s="1091"/>
      <c r="F362" s="1093"/>
      <c r="G362" s="98"/>
      <c r="H362" s="839"/>
      <c r="I362" s="1091"/>
      <c r="J362" s="1084"/>
      <c r="K362" s="1084"/>
      <c r="L362" s="932"/>
      <c r="M362" s="932"/>
    </row>
    <row r="363" spans="1:13" s="106" customFormat="1" ht="15.75" hidden="1" customHeight="1" outlineLevel="1">
      <c r="A363" s="932"/>
      <c r="B363" s="1087"/>
      <c r="C363" s="1096"/>
      <c r="D363" s="1092"/>
      <c r="E363" s="1092"/>
      <c r="F363" s="1094"/>
      <c r="G363" s="103"/>
      <c r="H363" s="840"/>
      <c r="I363" s="1092"/>
      <c r="J363" s="1085"/>
      <c r="K363" s="1085"/>
      <c r="L363" s="932"/>
      <c r="M363" s="932"/>
    </row>
    <row r="364" spans="1:13" s="106" customFormat="1" ht="15.75" hidden="1" customHeight="1" outlineLevel="1">
      <c r="A364" s="932"/>
      <c r="B364" s="1086">
        <v>118</v>
      </c>
      <c r="C364" s="1095"/>
      <c r="D364" s="1091"/>
      <c r="E364" s="1091" t="s">
        <v>20</v>
      </c>
      <c r="F364" s="1093" t="str">
        <f>VLOOKUP(E364,$N$13:$O$17,2,0)</f>
        <v>-</v>
      </c>
      <c r="G364" s="95"/>
      <c r="H364" s="839"/>
      <c r="I364" s="1091"/>
      <c r="J364" s="1083"/>
      <c r="K364" s="1083"/>
      <c r="L364" s="932"/>
      <c r="M364" s="932"/>
    </row>
    <row r="365" spans="1:13" s="106" customFormat="1" ht="15.75" hidden="1" customHeight="1" outlineLevel="1">
      <c r="A365" s="932"/>
      <c r="B365" s="1086"/>
      <c r="C365" s="1095"/>
      <c r="D365" s="1091"/>
      <c r="E365" s="1091"/>
      <c r="F365" s="1093"/>
      <c r="G365" s="98"/>
      <c r="H365" s="839"/>
      <c r="I365" s="1091"/>
      <c r="J365" s="1084"/>
      <c r="K365" s="1084"/>
      <c r="L365" s="932"/>
      <c r="M365" s="932"/>
    </row>
    <row r="366" spans="1:13" s="106" customFormat="1" ht="15.75" hidden="1" customHeight="1" outlineLevel="1">
      <c r="A366" s="932"/>
      <c r="B366" s="1087"/>
      <c r="C366" s="1096"/>
      <c r="D366" s="1092"/>
      <c r="E366" s="1092"/>
      <c r="F366" s="1094"/>
      <c r="G366" s="103"/>
      <c r="H366" s="840"/>
      <c r="I366" s="1092"/>
      <c r="J366" s="1085"/>
      <c r="K366" s="1085"/>
      <c r="L366" s="932"/>
      <c r="M366" s="932"/>
    </row>
    <row r="367" spans="1:13" s="106" customFormat="1" ht="15.75" hidden="1" customHeight="1" outlineLevel="1">
      <c r="A367" s="932"/>
      <c r="B367" s="1086">
        <v>119</v>
      </c>
      <c r="C367" s="1095"/>
      <c r="D367" s="1091"/>
      <c r="E367" s="1091" t="s">
        <v>20</v>
      </c>
      <c r="F367" s="1093" t="str">
        <f>VLOOKUP(E367,$N$13:$O$17,2,0)</f>
        <v>-</v>
      </c>
      <c r="G367" s="95"/>
      <c r="H367" s="839"/>
      <c r="I367" s="1091"/>
      <c r="J367" s="1083"/>
      <c r="K367" s="1083"/>
      <c r="L367" s="932"/>
      <c r="M367" s="932"/>
    </row>
    <row r="368" spans="1:13" s="106" customFormat="1" ht="15.75" hidden="1" customHeight="1" outlineLevel="1">
      <c r="A368" s="932"/>
      <c r="B368" s="1086"/>
      <c r="C368" s="1095"/>
      <c r="D368" s="1091"/>
      <c r="E368" s="1091"/>
      <c r="F368" s="1093"/>
      <c r="G368" s="98"/>
      <c r="H368" s="839"/>
      <c r="I368" s="1091"/>
      <c r="J368" s="1084"/>
      <c r="K368" s="1084"/>
      <c r="L368" s="932"/>
      <c r="M368" s="932"/>
    </row>
    <row r="369" spans="1:13" s="106" customFormat="1" ht="15.75" hidden="1" customHeight="1" outlineLevel="1">
      <c r="A369" s="932"/>
      <c r="B369" s="1087"/>
      <c r="C369" s="1096"/>
      <c r="D369" s="1092"/>
      <c r="E369" s="1092"/>
      <c r="F369" s="1094"/>
      <c r="G369" s="103"/>
      <c r="H369" s="840"/>
      <c r="I369" s="1092"/>
      <c r="J369" s="1085"/>
      <c r="K369" s="1085"/>
      <c r="L369" s="932"/>
      <c r="M369" s="932"/>
    </row>
    <row r="370" spans="1:13" s="106" customFormat="1" ht="15.75" hidden="1" customHeight="1" outlineLevel="1">
      <c r="A370" s="932"/>
      <c r="B370" s="1086">
        <v>120</v>
      </c>
      <c r="C370" s="1095"/>
      <c r="D370" s="1091"/>
      <c r="E370" s="1091" t="s">
        <v>20</v>
      </c>
      <c r="F370" s="1093" t="str">
        <f>VLOOKUP(E370,$N$13:$O$17,2,0)</f>
        <v>-</v>
      </c>
      <c r="G370" s="95"/>
      <c r="H370" s="839"/>
      <c r="I370" s="1091"/>
      <c r="J370" s="1083"/>
      <c r="K370" s="1083"/>
      <c r="L370" s="932"/>
      <c r="M370" s="932"/>
    </row>
    <row r="371" spans="1:13" s="106" customFormat="1" ht="15.75" hidden="1" customHeight="1" outlineLevel="1">
      <c r="A371" s="932"/>
      <c r="B371" s="1086"/>
      <c r="C371" s="1095"/>
      <c r="D371" s="1091"/>
      <c r="E371" s="1091"/>
      <c r="F371" s="1093"/>
      <c r="G371" s="98"/>
      <c r="H371" s="839"/>
      <c r="I371" s="1091"/>
      <c r="J371" s="1084"/>
      <c r="K371" s="1084"/>
      <c r="L371" s="932"/>
      <c r="M371" s="932"/>
    </row>
    <row r="372" spans="1:13" s="106" customFormat="1" ht="15.75" hidden="1" customHeight="1" outlineLevel="1">
      <c r="A372" s="932"/>
      <c r="B372" s="1087"/>
      <c r="C372" s="1096"/>
      <c r="D372" s="1092"/>
      <c r="E372" s="1092"/>
      <c r="F372" s="1094"/>
      <c r="G372" s="103"/>
      <c r="H372" s="840"/>
      <c r="I372" s="1092"/>
      <c r="J372" s="1085"/>
      <c r="K372" s="1085"/>
      <c r="L372" s="932"/>
      <c r="M372" s="932"/>
    </row>
    <row r="373" spans="1:13" s="106" customFormat="1" ht="15.75" hidden="1" customHeight="1" outlineLevel="1">
      <c r="A373" s="932"/>
      <c r="B373" s="1086">
        <v>121</v>
      </c>
      <c r="C373" s="1095"/>
      <c r="D373" s="1091"/>
      <c r="E373" s="1091" t="s">
        <v>20</v>
      </c>
      <c r="F373" s="1093" t="str">
        <f>VLOOKUP(E373,$N$13:$O$17,2,0)</f>
        <v>-</v>
      </c>
      <c r="G373" s="95"/>
      <c r="H373" s="839"/>
      <c r="I373" s="1091"/>
      <c r="J373" s="1083"/>
      <c r="K373" s="1083"/>
      <c r="L373" s="932"/>
      <c r="M373" s="932"/>
    </row>
    <row r="374" spans="1:13" s="106" customFormat="1" ht="15.75" hidden="1" customHeight="1" outlineLevel="1">
      <c r="A374" s="932"/>
      <c r="B374" s="1086"/>
      <c r="C374" s="1095"/>
      <c r="D374" s="1091"/>
      <c r="E374" s="1091"/>
      <c r="F374" s="1093"/>
      <c r="G374" s="98"/>
      <c r="H374" s="839"/>
      <c r="I374" s="1091"/>
      <c r="J374" s="1084"/>
      <c r="K374" s="1084"/>
      <c r="L374" s="932"/>
      <c r="M374" s="932"/>
    </row>
    <row r="375" spans="1:13" s="106" customFormat="1" ht="15.75" hidden="1" customHeight="1" outlineLevel="1">
      <c r="A375" s="932"/>
      <c r="B375" s="1087"/>
      <c r="C375" s="1096"/>
      <c r="D375" s="1092"/>
      <c r="E375" s="1092"/>
      <c r="F375" s="1094"/>
      <c r="G375" s="103"/>
      <c r="H375" s="840"/>
      <c r="I375" s="1092"/>
      <c r="J375" s="1085"/>
      <c r="K375" s="1085"/>
      <c r="L375" s="932"/>
      <c r="M375" s="932"/>
    </row>
    <row r="376" spans="1:13" s="106" customFormat="1" ht="15.75" hidden="1" customHeight="1" outlineLevel="1">
      <c r="A376" s="932"/>
      <c r="B376" s="1086">
        <v>122</v>
      </c>
      <c r="C376" s="1095"/>
      <c r="D376" s="1091"/>
      <c r="E376" s="1091" t="s">
        <v>20</v>
      </c>
      <c r="F376" s="1093" t="str">
        <f>VLOOKUP(E376,$N$13:$O$17,2,0)</f>
        <v>-</v>
      </c>
      <c r="G376" s="95"/>
      <c r="H376" s="839"/>
      <c r="I376" s="1091"/>
      <c r="J376" s="1083"/>
      <c r="K376" s="1083"/>
      <c r="L376" s="932"/>
      <c r="M376" s="932"/>
    </row>
    <row r="377" spans="1:13" s="106" customFormat="1" ht="15.75" hidden="1" customHeight="1" outlineLevel="1">
      <c r="A377" s="932"/>
      <c r="B377" s="1086"/>
      <c r="C377" s="1095"/>
      <c r="D377" s="1091"/>
      <c r="E377" s="1091"/>
      <c r="F377" s="1093"/>
      <c r="G377" s="98"/>
      <c r="H377" s="839"/>
      <c r="I377" s="1091"/>
      <c r="J377" s="1084"/>
      <c r="K377" s="1084"/>
      <c r="L377" s="932"/>
      <c r="M377" s="932"/>
    </row>
    <row r="378" spans="1:13" s="106" customFormat="1" ht="15.75" hidden="1" customHeight="1" outlineLevel="1">
      <c r="A378" s="932"/>
      <c r="B378" s="1087"/>
      <c r="C378" s="1096"/>
      <c r="D378" s="1092"/>
      <c r="E378" s="1092"/>
      <c r="F378" s="1094"/>
      <c r="G378" s="103"/>
      <c r="H378" s="840"/>
      <c r="I378" s="1092"/>
      <c r="J378" s="1085"/>
      <c r="K378" s="1085"/>
      <c r="L378" s="932"/>
      <c r="M378" s="932"/>
    </row>
    <row r="379" spans="1:13" s="106" customFormat="1" ht="15.75" hidden="1" customHeight="1" outlineLevel="1">
      <c r="A379" s="932"/>
      <c r="B379" s="1086">
        <v>123</v>
      </c>
      <c r="C379" s="1095"/>
      <c r="D379" s="1091"/>
      <c r="E379" s="1091" t="s">
        <v>20</v>
      </c>
      <c r="F379" s="1093" t="str">
        <f>VLOOKUP(E379,$N$13:$O$17,2,0)</f>
        <v>-</v>
      </c>
      <c r="G379" s="95"/>
      <c r="H379" s="839"/>
      <c r="I379" s="1091"/>
      <c r="J379" s="1083"/>
      <c r="K379" s="1083"/>
      <c r="L379" s="932"/>
      <c r="M379" s="932"/>
    </row>
    <row r="380" spans="1:13" s="106" customFormat="1" ht="15.75" hidden="1" customHeight="1" outlineLevel="1">
      <c r="A380" s="932"/>
      <c r="B380" s="1086"/>
      <c r="C380" s="1095"/>
      <c r="D380" s="1091"/>
      <c r="E380" s="1091"/>
      <c r="F380" s="1093"/>
      <c r="G380" s="98"/>
      <c r="H380" s="839"/>
      <c r="I380" s="1091"/>
      <c r="J380" s="1084"/>
      <c r="K380" s="1084"/>
      <c r="L380" s="932"/>
      <c r="M380" s="932"/>
    </row>
    <row r="381" spans="1:13" s="106" customFormat="1" ht="15.75" hidden="1" customHeight="1" outlineLevel="1">
      <c r="A381" s="932"/>
      <c r="B381" s="1087"/>
      <c r="C381" s="1096"/>
      <c r="D381" s="1092"/>
      <c r="E381" s="1092"/>
      <c r="F381" s="1094"/>
      <c r="G381" s="103"/>
      <c r="H381" s="840"/>
      <c r="I381" s="1092"/>
      <c r="J381" s="1085"/>
      <c r="K381" s="1085"/>
      <c r="L381" s="932"/>
      <c r="M381" s="932"/>
    </row>
    <row r="382" spans="1:13" s="106" customFormat="1" ht="15.75" hidden="1" customHeight="1" outlineLevel="1">
      <c r="A382" s="932"/>
      <c r="B382" s="1086">
        <v>124</v>
      </c>
      <c r="C382" s="1095"/>
      <c r="D382" s="1091"/>
      <c r="E382" s="1091" t="s">
        <v>20</v>
      </c>
      <c r="F382" s="1093" t="str">
        <f>VLOOKUP(E382,$N$13:$O$17,2,0)</f>
        <v>-</v>
      </c>
      <c r="G382" s="95"/>
      <c r="H382" s="839"/>
      <c r="I382" s="1091"/>
      <c r="J382" s="1083"/>
      <c r="K382" s="1083"/>
      <c r="L382" s="932"/>
      <c r="M382" s="932"/>
    </row>
    <row r="383" spans="1:13" s="106" customFormat="1" ht="15.75" hidden="1" customHeight="1" outlineLevel="1">
      <c r="A383" s="932"/>
      <c r="B383" s="1086"/>
      <c r="C383" s="1095"/>
      <c r="D383" s="1091"/>
      <c r="E383" s="1091"/>
      <c r="F383" s="1093"/>
      <c r="G383" s="98"/>
      <c r="H383" s="839"/>
      <c r="I383" s="1091"/>
      <c r="J383" s="1084"/>
      <c r="K383" s="1084"/>
      <c r="L383" s="932"/>
      <c r="M383" s="932"/>
    </row>
    <row r="384" spans="1:13" s="106" customFormat="1" ht="15.75" hidden="1" customHeight="1" outlineLevel="1">
      <c r="A384" s="932"/>
      <c r="B384" s="1087"/>
      <c r="C384" s="1096"/>
      <c r="D384" s="1092"/>
      <c r="E384" s="1092"/>
      <c r="F384" s="1094"/>
      <c r="G384" s="103"/>
      <c r="H384" s="840"/>
      <c r="I384" s="1092"/>
      <c r="J384" s="1085"/>
      <c r="K384" s="1085"/>
      <c r="L384" s="932"/>
      <c r="M384" s="932"/>
    </row>
    <row r="385" spans="1:13" s="106" customFormat="1" ht="15.75" hidden="1" customHeight="1" outlineLevel="1">
      <c r="A385" s="932"/>
      <c r="B385" s="1086">
        <v>125</v>
      </c>
      <c r="C385" s="1095"/>
      <c r="D385" s="1091"/>
      <c r="E385" s="1091" t="s">
        <v>20</v>
      </c>
      <c r="F385" s="1093" t="str">
        <f>VLOOKUP(E385,$N$13:$O$17,2,0)</f>
        <v>-</v>
      </c>
      <c r="G385" s="95"/>
      <c r="H385" s="839"/>
      <c r="I385" s="1091"/>
      <c r="J385" s="1083"/>
      <c r="K385" s="1083"/>
      <c r="L385" s="932"/>
      <c r="M385" s="932"/>
    </row>
    <row r="386" spans="1:13" s="106" customFormat="1" ht="15.75" hidden="1" customHeight="1" outlineLevel="1">
      <c r="A386" s="932"/>
      <c r="B386" s="1086"/>
      <c r="C386" s="1095"/>
      <c r="D386" s="1091"/>
      <c r="E386" s="1091"/>
      <c r="F386" s="1093"/>
      <c r="G386" s="98"/>
      <c r="H386" s="839"/>
      <c r="I386" s="1091"/>
      <c r="J386" s="1084"/>
      <c r="K386" s="1084"/>
      <c r="L386" s="932"/>
      <c r="M386" s="932"/>
    </row>
    <row r="387" spans="1:13" s="106" customFormat="1" ht="15.75" hidden="1" customHeight="1" outlineLevel="1">
      <c r="A387" s="932"/>
      <c r="B387" s="1087"/>
      <c r="C387" s="1096"/>
      <c r="D387" s="1092"/>
      <c r="E387" s="1092"/>
      <c r="F387" s="1094"/>
      <c r="G387" s="103"/>
      <c r="H387" s="840"/>
      <c r="I387" s="1092"/>
      <c r="J387" s="1085"/>
      <c r="K387" s="1085"/>
      <c r="L387" s="932"/>
      <c r="M387" s="932"/>
    </row>
    <row r="388" spans="1:13" s="106" customFormat="1" ht="15.75" hidden="1" customHeight="1" outlineLevel="1">
      <c r="A388" s="932"/>
      <c r="B388" s="1086">
        <v>126</v>
      </c>
      <c r="C388" s="1095"/>
      <c r="D388" s="1091"/>
      <c r="E388" s="1091" t="s">
        <v>20</v>
      </c>
      <c r="F388" s="1093" t="str">
        <f>VLOOKUP(E388,$N$13:$O$17,2,0)</f>
        <v>-</v>
      </c>
      <c r="G388" s="95"/>
      <c r="H388" s="839"/>
      <c r="I388" s="1091"/>
      <c r="J388" s="1083"/>
      <c r="K388" s="1083"/>
      <c r="L388" s="932"/>
      <c r="M388" s="932"/>
    </row>
    <row r="389" spans="1:13" s="106" customFormat="1" ht="15.75" hidden="1" customHeight="1" outlineLevel="1">
      <c r="A389" s="932"/>
      <c r="B389" s="1086"/>
      <c r="C389" s="1095"/>
      <c r="D389" s="1091"/>
      <c r="E389" s="1091"/>
      <c r="F389" s="1093"/>
      <c r="G389" s="98"/>
      <c r="H389" s="839"/>
      <c r="I389" s="1091"/>
      <c r="J389" s="1084"/>
      <c r="K389" s="1084"/>
      <c r="L389" s="932"/>
      <c r="M389" s="932"/>
    </row>
    <row r="390" spans="1:13" s="106" customFormat="1" ht="15.75" hidden="1" customHeight="1" outlineLevel="1">
      <c r="A390" s="932"/>
      <c r="B390" s="1087"/>
      <c r="C390" s="1096"/>
      <c r="D390" s="1092"/>
      <c r="E390" s="1092"/>
      <c r="F390" s="1094"/>
      <c r="G390" s="103"/>
      <c r="H390" s="840"/>
      <c r="I390" s="1092"/>
      <c r="J390" s="1085"/>
      <c r="K390" s="1085"/>
      <c r="L390" s="932"/>
      <c r="M390" s="932"/>
    </row>
    <row r="391" spans="1:13" s="106" customFormat="1" ht="15.75" hidden="1" customHeight="1" outlineLevel="1">
      <c r="A391" s="932"/>
      <c r="B391" s="1086">
        <v>127</v>
      </c>
      <c r="C391" s="1095"/>
      <c r="D391" s="1091"/>
      <c r="E391" s="1091" t="s">
        <v>20</v>
      </c>
      <c r="F391" s="1093" t="str">
        <f>VLOOKUP(E391,$N$13:$O$17,2,0)</f>
        <v>-</v>
      </c>
      <c r="G391" s="95"/>
      <c r="H391" s="839"/>
      <c r="I391" s="1091"/>
      <c r="J391" s="1083"/>
      <c r="K391" s="1083"/>
      <c r="L391" s="932"/>
      <c r="M391" s="932"/>
    </row>
    <row r="392" spans="1:13" s="106" customFormat="1" ht="15.75" hidden="1" customHeight="1" outlineLevel="1">
      <c r="A392" s="932"/>
      <c r="B392" s="1086"/>
      <c r="C392" s="1095"/>
      <c r="D392" s="1091"/>
      <c r="E392" s="1091"/>
      <c r="F392" s="1093"/>
      <c r="G392" s="98"/>
      <c r="H392" s="839"/>
      <c r="I392" s="1091"/>
      <c r="J392" s="1084"/>
      <c r="K392" s="1084"/>
      <c r="L392" s="932"/>
      <c r="M392" s="932"/>
    </row>
    <row r="393" spans="1:13" s="106" customFormat="1" ht="15.75" hidden="1" customHeight="1" outlineLevel="1">
      <c r="A393" s="932"/>
      <c r="B393" s="1087"/>
      <c r="C393" s="1096"/>
      <c r="D393" s="1092"/>
      <c r="E393" s="1092"/>
      <c r="F393" s="1094"/>
      <c r="G393" s="103"/>
      <c r="H393" s="840"/>
      <c r="I393" s="1092"/>
      <c r="J393" s="1085"/>
      <c r="K393" s="1085"/>
      <c r="L393" s="932"/>
      <c r="M393" s="932"/>
    </row>
    <row r="394" spans="1:13" s="106" customFormat="1" ht="15.75" hidden="1" customHeight="1" outlineLevel="1">
      <c r="A394" s="932"/>
      <c r="B394" s="1086">
        <v>128</v>
      </c>
      <c r="C394" s="1095"/>
      <c r="D394" s="1091"/>
      <c r="E394" s="1091" t="s">
        <v>20</v>
      </c>
      <c r="F394" s="1093" t="str">
        <f>VLOOKUP(E394,$N$13:$O$17,2,0)</f>
        <v>-</v>
      </c>
      <c r="G394" s="95"/>
      <c r="H394" s="839"/>
      <c r="I394" s="1091"/>
      <c r="J394" s="1083"/>
      <c r="K394" s="1083"/>
      <c r="L394" s="932"/>
      <c r="M394" s="932"/>
    </row>
    <row r="395" spans="1:13" s="106" customFormat="1" ht="15.75" hidden="1" customHeight="1" outlineLevel="1">
      <c r="A395" s="932"/>
      <c r="B395" s="1086"/>
      <c r="C395" s="1095"/>
      <c r="D395" s="1091"/>
      <c r="E395" s="1091"/>
      <c r="F395" s="1093"/>
      <c r="G395" s="98"/>
      <c r="H395" s="839"/>
      <c r="I395" s="1091"/>
      <c r="J395" s="1084"/>
      <c r="K395" s="1084"/>
      <c r="L395" s="932"/>
      <c r="M395" s="932"/>
    </row>
    <row r="396" spans="1:13" s="106" customFormat="1" ht="15.75" hidden="1" customHeight="1" outlineLevel="1">
      <c r="A396" s="932"/>
      <c r="B396" s="1087"/>
      <c r="C396" s="1096"/>
      <c r="D396" s="1092"/>
      <c r="E396" s="1092"/>
      <c r="F396" s="1094"/>
      <c r="G396" s="103"/>
      <c r="H396" s="840"/>
      <c r="I396" s="1092"/>
      <c r="J396" s="1085"/>
      <c r="K396" s="1085"/>
      <c r="L396" s="932"/>
      <c r="M396" s="932"/>
    </row>
    <row r="397" spans="1:13" s="106" customFormat="1" ht="15.75" hidden="1" customHeight="1" outlineLevel="1">
      <c r="A397" s="932"/>
      <c r="B397" s="1086">
        <v>129</v>
      </c>
      <c r="C397" s="1095"/>
      <c r="D397" s="1091"/>
      <c r="E397" s="1091" t="s">
        <v>20</v>
      </c>
      <c r="F397" s="1093" t="str">
        <f>VLOOKUP(E397,$N$13:$O$17,2,0)</f>
        <v>-</v>
      </c>
      <c r="G397" s="95"/>
      <c r="H397" s="839"/>
      <c r="I397" s="1091"/>
      <c r="J397" s="1083"/>
      <c r="K397" s="1083"/>
      <c r="L397" s="932"/>
      <c r="M397" s="932"/>
    </row>
    <row r="398" spans="1:13" s="106" customFormat="1" ht="15.75" hidden="1" customHeight="1" outlineLevel="1">
      <c r="A398" s="932"/>
      <c r="B398" s="1086"/>
      <c r="C398" s="1095"/>
      <c r="D398" s="1091"/>
      <c r="E398" s="1091"/>
      <c r="F398" s="1093"/>
      <c r="G398" s="98"/>
      <c r="H398" s="839"/>
      <c r="I398" s="1091"/>
      <c r="J398" s="1084"/>
      <c r="K398" s="1084"/>
      <c r="L398" s="932"/>
      <c r="M398" s="932"/>
    </row>
    <row r="399" spans="1:13" s="106" customFormat="1" ht="15.75" hidden="1" customHeight="1" outlineLevel="1">
      <c r="A399" s="932"/>
      <c r="B399" s="1087"/>
      <c r="C399" s="1096"/>
      <c r="D399" s="1092"/>
      <c r="E399" s="1092"/>
      <c r="F399" s="1094"/>
      <c r="G399" s="103"/>
      <c r="H399" s="840"/>
      <c r="I399" s="1092"/>
      <c r="J399" s="1085"/>
      <c r="K399" s="1085"/>
      <c r="L399" s="932"/>
      <c r="M399" s="932"/>
    </row>
    <row r="400" spans="1:13" s="106" customFormat="1" ht="15.75" hidden="1" customHeight="1" outlineLevel="1">
      <c r="A400" s="932"/>
      <c r="B400" s="1086">
        <v>130</v>
      </c>
      <c r="C400" s="1095"/>
      <c r="D400" s="1091"/>
      <c r="E400" s="1091" t="s">
        <v>20</v>
      </c>
      <c r="F400" s="1093" t="str">
        <f>VLOOKUP(E400,$N$13:$O$17,2,0)</f>
        <v>-</v>
      </c>
      <c r="G400" s="95"/>
      <c r="H400" s="839"/>
      <c r="I400" s="1091"/>
      <c r="J400" s="1083"/>
      <c r="K400" s="1083"/>
      <c r="L400" s="932"/>
      <c r="M400" s="932"/>
    </row>
    <row r="401" spans="1:13" s="106" customFormat="1" ht="15.75" hidden="1" customHeight="1" outlineLevel="1">
      <c r="A401" s="932"/>
      <c r="B401" s="1086"/>
      <c r="C401" s="1095"/>
      <c r="D401" s="1091"/>
      <c r="E401" s="1091"/>
      <c r="F401" s="1093"/>
      <c r="G401" s="98"/>
      <c r="H401" s="839"/>
      <c r="I401" s="1091"/>
      <c r="J401" s="1084"/>
      <c r="K401" s="1084"/>
      <c r="L401" s="932"/>
      <c r="M401" s="932"/>
    </row>
    <row r="402" spans="1:13" s="106" customFormat="1" ht="15.75" hidden="1" customHeight="1" outlineLevel="1">
      <c r="A402" s="932"/>
      <c r="B402" s="1087"/>
      <c r="C402" s="1096"/>
      <c r="D402" s="1092"/>
      <c r="E402" s="1092"/>
      <c r="F402" s="1094"/>
      <c r="G402" s="103"/>
      <c r="H402" s="840"/>
      <c r="I402" s="1092"/>
      <c r="J402" s="1085"/>
      <c r="K402" s="1085"/>
      <c r="L402" s="932"/>
      <c r="M402" s="932"/>
    </row>
    <row r="403" spans="1:13" s="106" customFormat="1" ht="15.75" hidden="1" customHeight="1" outlineLevel="1">
      <c r="A403" s="932"/>
      <c r="B403" s="1086">
        <v>131</v>
      </c>
      <c r="C403" s="1095"/>
      <c r="D403" s="1091"/>
      <c r="E403" s="1091" t="s">
        <v>20</v>
      </c>
      <c r="F403" s="1093" t="str">
        <f>VLOOKUP(E403,$N$13:$O$17,2,0)</f>
        <v>-</v>
      </c>
      <c r="G403" s="95"/>
      <c r="H403" s="839"/>
      <c r="I403" s="1091"/>
      <c r="J403" s="1083"/>
      <c r="K403" s="1083"/>
      <c r="L403" s="932"/>
      <c r="M403" s="932"/>
    </row>
    <row r="404" spans="1:13" s="106" customFormat="1" ht="15.75" hidden="1" customHeight="1" outlineLevel="1">
      <c r="A404" s="932"/>
      <c r="B404" s="1086"/>
      <c r="C404" s="1095"/>
      <c r="D404" s="1091"/>
      <c r="E404" s="1091"/>
      <c r="F404" s="1093"/>
      <c r="G404" s="98"/>
      <c r="H404" s="839"/>
      <c r="I404" s="1091"/>
      <c r="J404" s="1084"/>
      <c r="K404" s="1084"/>
      <c r="L404" s="932"/>
      <c r="M404" s="932"/>
    </row>
    <row r="405" spans="1:13" s="106" customFormat="1" ht="15.75" hidden="1" customHeight="1" outlineLevel="1">
      <c r="A405" s="932"/>
      <c r="B405" s="1087"/>
      <c r="C405" s="1096"/>
      <c r="D405" s="1092"/>
      <c r="E405" s="1092"/>
      <c r="F405" s="1094"/>
      <c r="G405" s="103"/>
      <c r="H405" s="840"/>
      <c r="I405" s="1092"/>
      <c r="J405" s="1085"/>
      <c r="K405" s="1085"/>
      <c r="L405" s="932"/>
      <c r="M405" s="932"/>
    </row>
    <row r="406" spans="1:13" s="106" customFormat="1" ht="15.75" hidden="1" customHeight="1" outlineLevel="1">
      <c r="A406" s="932"/>
      <c r="B406" s="1086">
        <v>132</v>
      </c>
      <c r="C406" s="1095"/>
      <c r="D406" s="1091"/>
      <c r="E406" s="1091" t="s">
        <v>20</v>
      </c>
      <c r="F406" s="1093" t="str">
        <f>VLOOKUP(E406,$N$13:$O$17,2,0)</f>
        <v>-</v>
      </c>
      <c r="G406" s="95"/>
      <c r="H406" s="839"/>
      <c r="I406" s="1091"/>
      <c r="J406" s="1083"/>
      <c r="K406" s="1083"/>
      <c r="L406" s="932"/>
      <c r="M406" s="932"/>
    </row>
    <row r="407" spans="1:13" s="106" customFormat="1" ht="15.75" hidden="1" customHeight="1" outlineLevel="1">
      <c r="A407" s="932"/>
      <c r="B407" s="1086"/>
      <c r="C407" s="1095"/>
      <c r="D407" s="1091"/>
      <c r="E407" s="1091"/>
      <c r="F407" s="1093"/>
      <c r="G407" s="98"/>
      <c r="H407" s="839"/>
      <c r="I407" s="1091"/>
      <c r="J407" s="1084"/>
      <c r="K407" s="1084"/>
      <c r="L407" s="932"/>
      <c r="M407" s="932"/>
    </row>
    <row r="408" spans="1:13" s="106" customFormat="1" ht="15.75" hidden="1" customHeight="1" outlineLevel="1">
      <c r="A408" s="932"/>
      <c r="B408" s="1087"/>
      <c r="C408" s="1096"/>
      <c r="D408" s="1092"/>
      <c r="E408" s="1092"/>
      <c r="F408" s="1094"/>
      <c r="G408" s="103"/>
      <c r="H408" s="840"/>
      <c r="I408" s="1092"/>
      <c r="J408" s="1085"/>
      <c r="K408" s="1085"/>
      <c r="L408" s="932"/>
      <c r="M408" s="932"/>
    </row>
    <row r="409" spans="1:13" s="106" customFormat="1" ht="15.75" hidden="1" customHeight="1" outlineLevel="1">
      <c r="A409" s="932"/>
      <c r="B409" s="1086">
        <v>133</v>
      </c>
      <c r="C409" s="1095"/>
      <c r="D409" s="1091"/>
      <c r="E409" s="1091" t="s">
        <v>20</v>
      </c>
      <c r="F409" s="1093" t="str">
        <f>VLOOKUP(E409,$N$13:$O$17,2,0)</f>
        <v>-</v>
      </c>
      <c r="G409" s="95"/>
      <c r="H409" s="839"/>
      <c r="I409" s="1091"/>
      <c r="J409" s="1083"/>
      <c r="K409" s="1083"/>
      <c r="L409" s="932"/>
      <c r="M409" s="932"/>
    </row>
    <row r="410" spans="1:13" s="106" customFormat="1" ht="15.75" hidden="1" customHeight="1" outlineLevel="1">
      <c r="A410" s="932"/>
      <c r="B410" s="1086"/>
      <c r="C410" s="1095"/>
      <c r="D410" s="1091"/>
      <c r="E410" s="1091"/>
      <c r="F410" s="1093"/>
      <c r="G410" s="98"/>
      <c r="H410" s="839"/>
      <c r="I410" s="1091"/>
      <c r="J410" s="1084"/>
      <c r="K410" s="1084"/>
      <c r="L410" s="932"/>
      <c r="M410" s="932"/>
    </row>
    <row r="411" spans="1:13" s="106" customFormat="1" ht="15.75" hidden="1" customHeight="1" outlineLevel="1">
      <c r="A411" s="932"/>
      <c r="B411" s="1087"/>
      <c r="C411" s="1096"/>
      <c r="D411" s="1092"/>
      <c r="E411" s="1092"/>
      <c r="F411" s="1094"/>
      <c r="G411" s="103"/>
      <c r="H411" s="840"/>
      <c r="I411" s="1092"/>
      <c r="J411" s="1085"/>
      <c r="K411" s="1085"/>
      <c r="L411" s="932"/>
      <c r="M411" s="932"/>
    </row>
    <row r="412" spans="1:13" s="106" customFormat="1" ht="15.75" hidden="1" customHeight="1" outlineLevel="1">
      <c r="A412" s="932"/>
      <c r="B412" s="1086">
        <v>134</v>
      </c>
      <c r="C412" s="1095"/>
      <c r="D412" s="1091"/>
      <c r="E412" s="1091" t="s">
        <v>20</v>
      </c>
      <c r="F412" s="1093" t="str">
        <f>VLOOKUP(E412,$N$13:$O$17,2,0)</f>
        <v>-</v>
      </c>
      <c r="G412" s="95"/>
      <c r="H412" s="839"/>
      <c r="I412" s="1091"/>
      <c r="J412" s="1083"/>
      <c r="K412" s="1083"/>
      <c r="L412" s="932"/>
      <c r="M412" s="932"/>
    </row>
    <row r="413" spans="1:13" s="106" customFormat="1" ht="15.75" hidden="1" customHeight="1" outlineLevel="1">
      <c r="A413" s="932"/>
      <c r="B413" s="1086"/>
      <c r="C413" s="1095"/>
      <c r="D413" s="1091"/>
      <c r="E413" s="1091"/>
      <c r="F413" s="1093"/>
      <c r="G413" s="98"/>
      <c r="H413" s="839"/>
      <c r="I413" s="1091"/>
      <c r="J413" s="1084"/>
      <c r="K413" s="1084"/>
      <c r="L413" s="932"/>
      <c r="M413" s="932"/>
    </row>
    <row r="414" spans="1:13" s="106" customFormat="1" ht="15.75" hidden="1" customHeight="1" outlineLevel="1">
      <c r="A414" s="932"/>
      <c r="B414" s="1087"/>
      <c r="C414" s="1096"/>
      <c r="D414" s="1092"/>
      <c r="E414" s="1092"/>
      <c r="F414" s="1094"/>
      <c r="G414" s="103"/>
      <c r="H414" s="840"/>
      <c r="I414" s="1092"/>
      <c r="J414" s="1085"/>
      <c r="K414" s="1085"/>
      <c r="L414" s="932"/>
      <c r="M414" s="932"/>
    </row>
    <row r="415" spans="1:13" s="106" customFormat="1" ht="15.75" hidden="1" customHeight="1" outlineLevel="1">
      <c r="A415" s="932"/>
      <c r="B415" s="1086">
        <v>135</v>
      </c>
      <c r="C415" s="1095"/>
      <c r="D415" s="1091"/>
      <c r="E415" s="1091" t="s">
        <v>20</v>
      </c>
      <c r="F415" s="1093" t="str">
        <f>VLOOKUP(E415,$N$13:$O$17,2,0)</f>
        <v>-</v>
      </c>
      <c r="G415" s="95"/>
      <c r="H415" s="839"/>
      <c r="I415" s="1091"/>
      <c r="J415" s="1083"/>
      <c r="K415" s="1083"/>
      <c r="L415" s="932"/>
      <c r="M415" s="932"/>
    </row>
    <row r="416" spans="1:13" s="106" customFormat="1" ht="15.75" hidden="1" customHeight="1" outlineLevel="1">
      <c r="A416" s="932"/>
      <c r="B416" s="1086"/>
      <c r="C416" s="1095"/>
      <c r="D416" s="1091"/>
      <c r="E416" s="1091"/>
      <c r="F416" s="1093"/>
      <c r="G416" s="98"/>
      <c r="H416" s="839"/>
      <c r="I416" s="1091"/>
      <c r="J416" s="1084"/>
      <c r="K416" s="1084"/>
      <c r="L416" s="932"/>
      <c r="M416" s="932"/>
    </row>
    <row r="417" spans="1:13" s="106" customFormat="1" ht="15.75" hidden="1" customHeight="1" outlineLevel="1">
      <c r="A417" s="932"/>
      <c r="B417" s="1087"/>
      <c r="C417" s="1096"/>
      <c r="D417" s="1092"/>
      <c r="E417" s="1092"/>
      <c r="F417" s="1094"/>
      <c r="G417" s="103"/>
      <c r="H417" s="840"/>
      <c r="I417" s="1092"/>
      <c r="J417" s="1085"/>
      <c r="K417" s="1085"/>
      <c r="L417" s="932"/>
      <c r="M417" s="932"/>
    </row>
    <row r="418" spans="1:13" s="106" customFormat="1" ht="15.75" hidden="1" customHeight="1" outlineLevel="1">
      <c r="A418" s="932"/>
      <c r="B418" s="1086">
        <v>136</v>
      </c>
      <c r="C418" s="1095"/>
      <c r="D418" s="1091"/>
      <c r="E418" s="1091" t="s">
        <v>20</v>
      </c>
      <c r="F418" s="1093" t="str">
        <f>VLOOKUP(E418,$N$13:$O$17,2,0)</f>
        <v>-</v>
      </c>
      <c r="G418" s="95"/>
      <c r="H418" s="839"/>
      <c r="I418" s="1091"/>
      <c r="J418" s="1083"/>
      <c r="K418" s="1083"/>
      <c r="L418" s="932"/>
      <c r="M418" s="932"/>
    </row>
    <row r="419" spans="1:13" s="106" customFormat="1" ht="15.75" hidden="1" customHeight="1" outlineLevel="1">
      <c r="A419" s="932"/>
      <c r="B419" s="1086"/>
      <c r="C419" s="1095"/>
      <c r="D419" s="1091"/>
      <c r="E419" s="1091"/>
      <c r="F419" s="1093"/>
      <c r="G419" s="98"/>
      <c r="H419" s="839"/>
      <c r="I419" s="1091"/>
      <c r="J419" s="1084"/>
      <c r="K419" s="1084"/>
      <c r="L419" s="932"/>
      <c r="M419" s="932"/>
    </row>
    <row r="420" spans="1:13" s="106" customFormat="1" ht="15.75" hidden="1" customHeight="1" outlineLevel="1">
      <c r="A420" s="932"/>
      <c r="B420" s="1087"/>
      <c r="C420" s="1096"/>
      <c r="D420" s="1092"/>
      <c r="E420" s="1092"/>
      <c r="F420" s="1094"/>
      <c r="G420" s="103"/>
      <c r="H420" s="840"/>
      <c r="I420" s="1092"/>
      <c r="J420" s="1085"/>
      <c r="K420" s="1085"/>
      <c r="L420" s="932"/>
      <c r="M420" s="932"/>
    </row>
    <row r="421" spans="1:13" s="106" customFormat="1" ht="15.75" hidden="1" customHeight="1" outlineLevel="1">
      <c r="A421" s="932"/>
      <c r="B421" s="1086">
        <v>137</v>
      </c>
      <c r="C421" s="1095"/>
      <c r="D421" s="1091"/>
      <c r="E421" s="1091" t="s">
        <v>20</v>
      </c>
      <c r="F421" s="1093" t="str">
        <f>VLOOKUP(E421,$N$13:$O$17,2,0)</f>
        <v>-</v>
      </c>
      <c r="G421" s="95"/>
      <c r="H421" s="839"/>
      <c r="I421" s="1091"/>
      <c r="J421" s="1083"/>
      <c r="K421" s="1083"/>
      <c r="L421" s="932"/>
      <c r="M421" s="932"/>
    </row>
    <row r="422" spans="1:13" s="106" customFormat="1" ht="15.75" hidden="1" customHeight="1" outlineLevel="1">
      <c r="A422" s="932"/>
      <c r="B422" s="1086"/>
      <c r="C422" s="1095"/>
      <c r="D422" s="1091"/>
      <c r="E422" s="1091"/>
      <c r="F422" s="1093"/>
      <c r="G422" s="98"/>
      <c r="H422" s="839"/>
      <c r="I422" s="1091"/>
      <c r="J422" s="1084"/>
      <c r="K422" s="1084"/>
      <c r="L422" s="932"/>
      <c r="M422" s="932"/>
    </row>
    <row r="423" spans="1:13" s="106" customFormat="1" ht="15.75" hidden="1" customHeight="1" outlineLevel="1">
      <c r="A423" s="932"/>
      <c r="B423" s="1087"/>
      <c r="C423" s="1096"/>
      <c r="D423" s="1092"/>
      <c r="E423" s="1092"/>
      <c r="F423" s="1094"/>
      <c r="G423" s="103"/>
      <c r="H423" s="840"/>
      <c r="I423" s="1092"/>
      <c r="J423" s="1085"/>
      <c r="K423" s="1085"/>
      <c r="L423" s="932"/>
      <c r="M423" s="932"/>
    </row>
    <row r="424" spans="1:13" s="106" customFormat="1" ht="15.75" hidden="1" customHeight="1" outlineLevel="1">
      <c r="A424" s="932"/>
      <c r="B424" s="1086">
        <v>138</v>
      </c>
      <c r="C424" s="1095"/>
      <c r="D424" s="1091"/>
      <c r="E424" s="1091" t="s">
        <v>20</v>
      </c>
      <c r="F424" s="1093" t="str">
        <f>VLOOKUP(E424,$N$13:$O$17,2,0)</f>
        <v>-</v>
      </c>
      <c r="G424" s="95"/>
      <c r="H424" s="839"/>
      <c r="I424" s="1091"/>
      <c r="J424" s="1083"/>
      <c r="K424" s="1083"/>
      <c r="L424" s="932"/>
      <c r="M424" s="932"/>
    </row>
    <row r="425" spans="1:13" s="106" customFormat="1" ht="15.75" hidden="1" customHeight="1" outlineLevel="1">
      <c r="A425" s="932"/>
      <c r="B425" s="1086"/>
      <c r="C425" s="1095"/>
      <c r="D425" s="1091"/>
      <c r="E425" s="1091"/>
      <c r="F425" s="1093"/>
      <c r="G425" s="98"/>
      <c r="H425" s="839"/>
      <c r="I425" s="1091"/>
      <c r="J425" s="1084"/>
      <c r="K425" s="1084"/>
      <c r="L425" s="932"/>
      <c r="M425" s="932"/>
    </row>
    <row r="426" spans="1:13" s="106" customFormat="1" ht="15.75" hidden="1" customHeight="1" outlineLevel="1">
      <c r="A426" s="932"/>
      <c r="B426" s="1087"/>
      <c r="C426" s="1096"/>
      <c r="D426" s="1092"/>
      <c r="E426" s="1092"/>
      <c r="F426" s="1094"/>
      <c r="G426" s="103"/>
      <c r="H426" s="840"/>
      <c r="I426" s="1092"/>
      <c r="J426" s="1085"/>
      <c r="K426" s="1085"/>
      <c r="L426" s="932"/>
      <c r="M426" s="932"/>
    </row>
    <row r="427" spans="1:13" s="106" customFormat="1" ht="15.75" hidden="1" customHeight="1" outlineLevel="1">
      <c r="A427" s="932"/>
      <c r="B427" s="1086">
        <v>139</v>
      </c>
      <c r="C427" s="1095"/>
      <c r="D427" s="1091"/>
      <c r="E427" s="1091" t="s">
        <v>20</v>
      </c>
      <c r="F427" s="1093" t="str">
        <f>VLOOKUP(E427,$N$13:$O$17,2,0)</f>
        <v>-</v>
      </c>
      <c r="G427" s="95"/>
      <c r="H427" s="839"/>
      <c r="I427" s="1091"/>
      <c r="J427" s="1083"/>
      <c r="K427" s="1083"/>
      <c r="L427" s="932"/>
      <c r="M427" s="932"/>
    </row>
    <row r="428" spans="1:13" s="106" customFormat="1" ht="15.75" hidden="1" customHeight="1" outlineLevel="1">
      <c r="A428" s="932"/>
      <c r="B428" s="1086"/>
      <c r="C428" s="1095"/>
      <c r="D428" s="1091"/>
      <c r="E428" s="1091"/>
      <c r="F428" s="1093"/>
      <c r="G428" s="98"/>
      <c r="H428" s="839"/>
      <c r="I428" s="1091"/>
      <c r="J428" s="1084"/>
      <c r="K428" s="1084"/>
      <c r="L428" s="932"/>
      <c r="M428" s="932"/>
    </row>
    <row r="429" spans="1:13" s="106" customFormat="1" ht="15.75" hidden="1" customHeight="1" outlineLevel="1">
      <c r="A429" s="932"/>
      <c r="B429" s="1087"/>
      <c r="C429" s="1096"/>
      <c r="D429" s="1092"/>
      <c r="E429" s="1092"/>
      <c r="F429" s="1094"/>
      <c r="G429" s="103"/>
      <c r="H429" s="840"/>
      <c r="I429" s="1092"/>
      <c r="J429" s="1085"/>
      <c r="K429" s="1085"/>
      <c r="L429" s="932"/>
      <c r="M429" s="932"/>
    </row>
    <row r="430" spans="1:13" s="106" customFormat="1" ht="15.75" hidden="1" customHeight="1" outlineLevel="1">
      <c r="A430" s="932"/>
      <c r="B430" s="1086">
        <v>140</v>
      </c>
      <c r="C430" s="1095"/>
      <c r="D430" s="1091"/>
      <c r="E430" s="1091" t="s">
        <v>20</v>
      </c>
      <c r="F430" s="1093" t="str">
        <f>VLOOKUP(E430,$N$13:$O$17,2,0)</f>
        <v>-</v>
      </c>
      <c r="G430" s="95"/>
      <c r="H430" s="839"/>
      <c r="I430" s="1091"/>
      <c r="J430" s="1083"/>
      <c r="K430" s="1083"/>
      <c r="L430" s="932"/>
      <c r="M430" s="932"/>
    </row>
    <row r="431" spans="1:13" s="106" customFormat="1" ht="15.75" hidden="1" customHeight="1" outlineLevel="1">
      <c r="A431" s="932"/>
      <c r="B431" s="1086"/>
      <c r="C431" s="1095"/>
      <c r="D431" s="1091"/>
      <c r="E431" s="1091"/>
      <c r="F431" s="1093"/>
      <c r="G431" s="98"/>
      <c r="H431" s="839"/>
      <c r="I431" s="1091"/>
      <c r="J431" s="1084"/>
      <c r="K431" s="1084"/>
      <c r="L431" s="932"/>
      <c r="M431" s="932"/>
    </row>
    <row r="432" spans="1:13" s="106" customFormat="1" ht="15.75" hidden="1" customHeight="1" outlineLevel="1">
      <c r="A432" s="932"/>
      <c r="B432" s="1087"/>
      <c r="C432" s="1096"/>
      <c r="D432" s="1092"/>
      <c r="E432" s="1092"/>
      <c r="F432" s="1094"/>
      <c r="G432" s="103"/>
      <c r="H432" s="840"/>
      <c r="I432" s="1092"/>
      <c r="J432" s="1085"/>
      <c r="K432" s="1085"/>
      <c r="L432" s="932"/>
      <c r="M432" s="932"/>
    </row>
    <row r="433" spans="1:13" s="106" customFormat="1" ht="15.75" hidden="1" customHeight="1" outlineLevel="1">
      <c r="A433" s="932"/>
      <c r="B433" s="1086">
        <v>141</v>
      </c>
      <c r="C433" s="1095"/>
      <c r="D433" s="1091"/>
      <c r="E433" s="1091" t="s">
        <v>20</v>
      </c>
      <c r="F433" s="1093" t="str">
        <f>VLOOKUP(E433,$N$13:$O$17,2,0)</f>
        <v>-</v>
      </c>
      <c r="G433" s="95"/>
      <c r="H433" s="839"/>
      <c r="I433" s="1091"/>
      <c r="J433" s="1083"/>
      <c r="K433" s="1083"/>
      <c r="L433" s="932"/>
      <c r="M433" s="932"/>
    </row>
    <row r="434" spans="1:13" s="106" customFormat="1" ht="15.75" hidden="1" customHeight="1" outlineLevel="1">
      <c r="A434" s="932"/>
      <c r="B434" s="1086"/>
      <c r="C434" s="1095"/>
      <c r="D434" s="1091"/>
      <c r="E434" s="1091"/>
      <c r="F434" s="1093"/>
      <c r="G434" s="98"/>
      <c r="H434" s="839"/>
      <c r="I434" s="1091"/>
      <c r="J434" s="1084"/>
      <c r="K434" s="1084"/>
      <c r="L434" s="932"/>
      <c r="M434" s="932"/>
    </row>
    <row r="435" spans="1:13" s="106" customFormat="1" ht="15.75" hidden="1" customHeight="1" outlineLevel="1">
      <c r="A435" s="932"/>
      <c r="B435" s="1087"/>
      <c r="C435" s="1096"/>
      <c r="D435" s="1092"/>
      <c r="E435" s="1092"/>
      <c r="F435" s="1094"/>
      <c r="G435" s="103"/>
      <c r="H435" s="840"/>
      <c r="I435" s="1092"/>
      <c r="J435" s="1085"/>
      <c r="K435" s="1085"/>
      <c r="L435" s="932"/>
      <c r="M435" s="932"/>
    </row>
    <row r="436" spans="1:13" s="106" customFormat="1" ht="15.75" hidden="1" customHeight="1" outlineLevel="1">
      <c r="A436" s="932"/>
      <c r="B436" s="1086">
        <v>142</v>
      </c>
      <c r="C436" s="1095"/>
      <c r="D436" s="1091"/>
      <c r="E436" s="1091" t="s">
        <v>20</v>
      </c>
      <c r="F436" s="1093" t="str">
        <f>VLOOKUP(E436,$N$13:$O$17,2,0)</f>
        <v>-</v>
      </c>
      <c r="G436" s="95"/>
      <c r="H436" s="839"/>
      <c r="I436" s="1091"/>
      <c r="J436" s="1083"/>
      <c r="K436" s="1083"/>
      <c r="L436" s="932"/>
      <c r="M436" s="932"/>
    </row>
    <row r="437" spans="1:13" s="106" customFormat="1" ht="15.75" hidden="1" customHeight="1" outlineLevel="1">
      <c r="A437" s="932"/>
      <c r="B437" s="1086"/>
      <c r="C437" s="1095"/>
      <c r="D437" s="1091"/>
      <c r="E437" s="1091"/>
      <c r="F437" s="1093"/>
      <c r="G437" s="98"/>
      <c r="H437" s="839"/>
      <c r="I437" s="1091"/>
      <c r="J437" s="1084"/>
      <c r="K437" s="1084"/>
      <c r="L437" s="932"/>
      <c r="M437" s="932"/>
    </row>
    <row r="438" spans="1:13" s="106" customFormat="1" ht="15.75" hidden="1" customHeight="1" outlineLevel="1">
      <c r="A438" s="932"/>
      <c r="B438" s="1087"/>
      <c r="C438" s="1096"/>
      <c r="D438" s="1092"/>
      <c r="E438" s="1092"/>
      <c r="F438" s="1094"/>
      <c r="G438" s="103"/>
      <c r="H438" s="840"/>
      <c r="I438" s="1092"/>
      <c r="J438" s="1085"/>
      <c r="K438" s="1085"/>
      <c r="L438" s="932"/>
      <c r="M438" s="932"/>
    </row>
    <row r="439" spans="1:13" s="106" customFormat="1" ht="15.75" hidden="1" customHeight="1" outlineLevel="1">
      <c r="A439" s="932"/>
      <c r="B439" s="1086">
        <v>143</v>
      </c>
      <c r="C439" s="1095"/>
      <c r="D439" s="1091"/>
      <c r="E439" s="1091" t="s">
        <v>20</v>
      </c>
      <c r="F439" s="1093" t="str">
        <f>VLOOKUP(E439,$N$13:$O$17,2,0)</f>
        <v>-</v>
      </c>
      <c r="G439" s="95"/>
      <c r="H439" s="839"/>
      <c r="I439" s="1091"/>
      <c r="J439" s="1083"/>
      <c r="K439" s="1083"/>
      <c r="L439" s="932"/>
      <c r="M439" s="932"/>
    </row>
    <row r="440" spans="1:13" s="106" customFormat="1" ht="15.75" hidden="1" customHeight="1" outlineLevel="1">
      <c r="A440" s="932"/>
      <c r="B440" s="1086"/>
      <c r="C440" s="1095"/>
      <c r="D440" s="1091"/>
      <c r="E440" s="1091"/>
      <c r="F440" s="1093"/>
      <c r="G440" s="98"/>
      <c r="H440" s="839"/>
      <c r="I440" s="1091"/>
      <c r="J440" s="1084"/>
      <c r="K440" s="1084"/>
      <c r="L440" s="932"/>
      <c r="M440" s="932"/>
    </row>
    <row r="441" spans="1:13" s="106" customFormat="1" ht="15.75" hidden="1" customHeight="1" outlineLevel="1">
      <c r="A441" s="932"/>
      <c r="B441" s="1087"/>
      <c r="C441" s="1096"/>
      <c r="D441" s="1092"/>
      <c r="E441" s="1092"/>
      <c r="F441" s="1094"/>
      <c r="G441" s="103"/>
      <c r="H441" s="840"/>
      <c r="I441" s="1092"/>
      <c r="J441" s="1085"/>
      <c r="K441" s="1085"/>
      <c r="L441" s="932"/>
      <c r="M441" s="932"/>
    </row>
    <row r="442" spans="1:13" s="106" customFormat="1" ht="15.75" hidden="1" customHeight="1" outlineLevel="1">
      <c r="A442" s="932"/>
      <c r="B442" s="1086">
        <v>144</v>
      </c>
      <c r="C442" s="1095"/>
      <c r="D442" s="1091"/>
      <c r="E442" s="1091" t="s">
        <v>20</v>
      </c>
      <c r="F442" s="1093" t="str">
        <f>VLOOKUP(E442,$N$13:$O$17,2,0)</f>
        <v>-</v>
      </c>
      <c r="G442" s="95"/>
      <c r="H442" s="839"/>
      <c r="I442" s="1091"/>
      <c r="J442" s="1083"/>
      <c r="K442" s="1083"/>
      <c r="L442" s="932"/>
      <c r="M442" s="932"/>
    </row>
    <row r="443" spans="1:13" s="106" customFormat="1" ht="15.75" hidden="1" customHeight="1" outlineLevel="1">
      <c r="A443" s="932"/>
      <c r="B443" s="1086"/>
      <c r="C443" s="1095"/>
      <c r="D443" s="1091"/>
      <c r="E443" s="1091"/>
      <c r="F443" s="1093"/>
      <c r="G443" s="98"/>
      <c r="H443" s="839"/>
      <c r="I443" s="1091"/>
      <c r="J443" s="1084"/>
      <c r="K443" s="1084"/>
      <c r="L443" s="932"/>
      <c r="M443" s="932"/>
    </row>
    <row r="444" spans="1:13" s="106" customFormat="1" ht="15.75" hidden="1" customHeight="1" outlineLevel="1">
      <c r="A444" s="932"/>
      <c r="B444" s="1087"/>
      <c r="C444" s="1096"/>
      <c r="D444" s="1092"/>
      <c r="E444" s="1092"/>
      <c r="F444" s="1094"/>
      <c r="G444" s="103"/>
      <c r="H444" s="840"/>
      <c r="I444" s="1092"/>
      <c r="J444" s="1085"/>
      <c r="K444" s="1085"/>
      <c r="L444" s="932"/>
      <c r="M444" s="932"/>
    </row>
    <row r="445" spans="1:13" s="106" customFormat="1" ht="15.75" hidden="1" customHeight="1" outlineLevel="1">
      <c r="A445" s="932"/>
      <c r="B445" s="1086">
        <v>145</v>
      </c>
      <c r="C445" s="1095"/>
      <c r="D445" s="1091"/>
      <c r="E445" s="1091" t="s">
        <v>20</v>
      </c>
      <c r="F445" s="1093" t="str">
        <f>VLOOKUP(E445,$N$13:$O$17,2,0)</f>
        <v>-</v>
      </c>
      <c r="G445" s="95"/>
      <c r="H445" s="839"/>
      <c r="I445" s="1091"/>
      <c r="J445" s="1083"/>
      <c r="K445" s="1083"/>
      <c r="L445" s="932"/>
      <c r="M445" s="932"/>
    </row>
    <row r="446" spans="1:13" s="106" customFormat="1" ht="15.75" hidden="1" customHeight="1" outlineLevel="1">
      <c r="A446" s="932"/>
      <c r="B446" s="1086"/>
      <c r="C446" s="1095"/>
      <c r="D446" s="1091"/>
      <c r="E446" s="1091"/>
      <c r="F446" s="1093"/>
      <c r="G446" s="98"/>
      <c r="H446" s="839"/>
      <c r="I446" s="1091"/>
      <c r="J446" s="1084"/>
      <c r="K446" s="1084"/>
      <c r="L446" s="932"/>
      <c r="M446" s="932"/>
    </row>
    <row r="447" spans="1:13" s="106" customFormat="1" ht="15.75" hidden="1" customHeight="1" outlineLevel="1">
      <c r="A447" s="932"/>
      <c r="B447" s="1087"/>
      <c r="C447" s="1096"/>
      <c r="D447" s="1092"/>
      <c r="E447" s="1092"/>
      <c r="F447" s="1094"/>
      <c r="G447" s="103"/>
      <c r="H447" s="840"/>
      <c r="I447" s="1092"/>
      <c r="J447" s="1085"/>
      <c r="K447" s="1085"/>
      <c r="L447" s="932"/>
      <c r="M447" s="932"/>
    </row>
    <row r="448" spans="1:13" s="106" customFormat="1" ht="15.75" hidden="1" customHeight="1" outlineLevel="1">
      <c r="A448" s="932"/>
      <c r="B448" s="1086">
        <v>146</v>
      </c>
      <c r="C448" s="1095"/>
      <c r="D448" s="1091"/>
      <c r="E448" s="1091" t="s">
        <v>20</v>
      </c>
      <c r="F448" s="1093" t="str">
        <f>VLOOKUP(E448,$N$13:$O$17,2,0)</f>
        <v>-</v>
      </c>
      <c r="G448" s="95"/>
      <c r="H448" s="839"/>
      <c r="I448" s="1091"/>
      <c r="J448" s="1083"/>
      <c r="K448" s="1083"/>
      <c r="L448" s="932"/>
      <c r="M448" s="932"/>
    </row>
    <row r="449" spans="1:13" s="106" customFormat="1" ht="15.75" hidden="1" customHeight="1" outlineLevel="1">
      <c r="A449" s="932"/>
      <c r="B449" s="1086"/>
      <c r="C449" s="1095"/>
      <c r="D449" s="1091"/>
      <c r="E449" s="1091"/>
      <c r="F449" s="1093"/>
      <c r="G449" s="98"/>
      <c r="H449" s="839"/>
      <c r="I449" s="1091"/>
      <c r="J449" s="1084"/>
      <c r="K449" s="1084"/>
      <c r="L449" s="932"/>
      <c r="M449" s="932"/>
    </row>
    <row r="450" spans="1:13" s="106" customFormat="1" ht="15.75" hidden="1" customHeight="1" outlineLevel="1">
      <c r="A450" s="932"/>
      <c r="B450" s="1087"/>
      <c r="C450" s="1096"/>
      <c r="D450" s="1092"/>
      <c r="E450" s="1092"/>
      <c r="F450" s="1094"/>
      <c r="G450" s="103"/>
      <c r="H450" s="840"/>
      <c r="I450" s="1092"/>
      <c r="J450" s="1085"/>
      <c r="K450" s="1085"/>
      <c r="L450" s="932"/>
      <c r="M450" s="932"/>
    </row>
    <row r="451" spans="1:13" s="106" customFormat="1" ht="15.75" hidden="1" customHeight="1" outlineLevel="1">
      <c r="A451" s="932"/>
      <c r="B451" s="1086">
        <v>147</v>
      </c>
      <c r="C451" s="1095"/>
      <c r="D451" s="1091"/>
      <c r="E451" s="1091" t="s">
        <v>20</v>
      </c>
      <c r="F451" s="1093" t="str">
        <f>VLOOKUP(E451,$N$13:$O$17,2,0)</f>
        <v>-</v>
      </c>
      <c r="G451" s="95"/>
      <c r="H451" s="839"/>
      <c r="I451" s="1091"/>
      <c r="J451" s="1083"/>
      <c r="K451" s="1083"/>
      <c r="L451" s="932"/>
      <c r="M451" s="932"/>
    </row>
    <row r="452" spans="1:13" s="106" customFormat="1" ht="15.75" hidden="1" customHeight="1" outlineLevel="1">
      <c r="A452" s="932"/>
      <c r="B452" s="1086"/>
      <c r="C452" s="1095"/>
      <c r="D452" s="1091"/>
      <c r="E452" s="1091"/>
      <c r="F452" s="1093"/>
      <c r="G452" s="98"/>
      <c r="H452" s="839"/>
      <c r="I452" s="1091"/>
      <c r="J452" s="1084"/>
      <c r="K452" s="1084"/>
      <c r="L452" s="932"/>
      <c r="M452" s="932"/>
    </row>
    <row r="453" spans="1:13" s="106" customFormat="1" ht="15.75" hidden="1" customHeight="1" outlineLevel="1">
      <c r="A453" s="932"/>
      <c r="B453" s="1087"/>
      <c r="C453" s="1096"/>
      <c r="D453" s="1092"/>
      <c r="E453" s="1092"/>
      <c r="F453" s="1094"/>
      <c r="G453" s="103"/>
      <c r="H453" s="840"/>
      <c r="I453" s="1092"/>
      <c r="J453" s="1085"/>
      <c r="K453" s="1085"/>
      <c r="L453" s="932"/>
      <c r="M453" s="932"/>
    </row>
    <row r="454" spans="1:13" s="106" customFormat="1" ht="15.75" hidden="1" customHeight="1" outlineLevel="1">
      <c r="A454" s="932"/>
      <c r="B454" s="1086">
        <v>148</v>
      </c>
      <c r="C454" s="1095"/>
      <c r="D454" s="1091"/>
      <c r="E454" s="1091" t="s">
        <v>20</v>
      </c>
      <c r="F454" s="1093" t="str">
        <f>VLOOKUP(E454,$N$13:$O$17,2,0)</f>
        <v>-</v>
      </c>
      <c r="G454" s="95"/>
      <c r="H454" s="839"/>
      <c r="I454" s="1091"/>
      <c r="J454" s="1083"/>
      <c r="K454" s="1083"/>
      <c r="L454" s="932"/>
      <c r="M454" s="932"/>
    </row>
    <row r="455" spans="1:13" s="106" customFormat="1" ht="15.75" hidden="1" customHeight="1" outlineLevel="1">
      <c r="A455" s="932"/>
      <c r="B455" s="1086"/>
      <c r="C455" s="1095"/>
      <c r="D455" s="1091"/>
      <c r="E455" s="1091"/>
      <c r="F455" s="1093"/>
      <c r="G455" s="98"/>
      <c r="H455" s="839"/>
      <c r="I455" s="1091"/>
      <c r="J455" s="1084"/>
      <c r="K455" s="1084"/>
      <c r="L455" s="932"/>
      <c r="M455" s="932"/>
    </row>
    <row r="456" spans="1:13" s="106" customFormat="1" ht="15.75" hidden="1" customHeight="1" outlineLevel="1">
      <c r="A456" s="932"/>
      <c r="B456" s="1087"/>
      <c r="C456" s="1096"/>
      <c r="D456" s="1092"/>
      <c r="E456" s="1092"/>
      <c r="F456" s="1094"/>
      <c r="G456" s="103"/>
      <c r="H456" s="840"/>
      <c r="I456" s="1092"/>
      <c r="J456" s="1085"/>
      <c r="K456" s="1085"/>
      <c r="L456" s="932"/>
      <c r="M456" s="932"/>
    </row>
    <row r="457" spans="1:13" s="106" customFormat="1" ht="15.75" hidden="1" customHeight="1" outlineLevel="1">
      <c r="A457" s="932"/>
      <c r="B457" s="1086">
        <v>149</v>
      </c>
      <c r="C457" s="1095"/>
      <c r="D457" s="1091"/>
      <c r="E457" s="1091" t="s">
        <v>20</v>
      </c>
      <c r="F457" s="1093" t="str">
        <f>VLOOKUP(E457,$N$13:$O$17,2,0)</f>
        <v>-</v>
      </c>
      <c r="G457" s="95"/>
      <c r="H457" s="839"/>
      <c r="I457" s="1091"/>
      <c r="J457" s="1083"/>
      <c r="K457" s="1083"/>
      <c r="L457" s="932"/>
      <c r="M457" s="932"/>
    </row>
    <row r="458" spans="1:13" s="106" customFormat="1" ht="15.75" hidden="1" customHeight="1" outlineLevel="1">
      <c r="A458" s="932"/>
      <c r="B458" s="1086"/>
      <c r="C458" s="1095"/>
      <c r="D458" s="1091"/>
      <c r="E458" s="1091"/>
      <c r="F458" s="1093"/>
      <c r="G458" s="98"/>
      <c r="H458" s="839"/>
      <c r="I458" s="1091"/>
      <c r="J458" s="1084"/>
      <c r="K458" s="1084"/>
      <c r="L458" s="932"/>
      <c r="M458" s="932"/>
    </row>
    <row r="459" spans="1:13" s="106" customFormat="1" ht="15.75" hidden="1" customHeight="1" outlineLevel="1">
      <c r="A459" s="932"/>
      <c r="B459" s="1087"/>
      <c r="C459" s="1096"/>
      <c r="D459" s="1092"/>
      <c r="E459" s="1092"/>
      <c r="F459" s="1094"/>
      <c r="G459" s="103"/>
      <c r="H459" s="840"/>
      <c r="I459" s="1092"/>
      <c r="J459" s="1085"/>
      <c r="K459" s="1085"/>
      <c r="L459" s="932"/>
      <c r="M459" s="932"/>
    </row>
    <row r="460" spans="1:13" s="106" customFormat="1" ht="15.75" hidden="1" customHeight="1" outlineLevel="1">
      <c r="A460" s="932"/>
      <c r="B460" s="1086">
        <v>150</v>
      </c>
      <c r="C460" s="1095"/>
      <c r="D460" s="1091"/>
      <c r="E460" s="1091" t="s">
        <v>20</v>
      </c>
      <c r="F460" s="1093" t="str">
        <f>VLOOKUP(E460,$N$13:$O$17,2,0)</f>
        <v>-</v>
      </c>
      <c r="G460" s="95"/>
      <c r="H460" s="839"/>
      <c r="I460" s="1091"/>
      <c r="J460" s="1083"/>
      <c r="K460" s="1083"/>
      <c r="L460" s="932"/>
      <c r="M460" s="932"/>
    </row>
    <row r="461" spans="1:13" s="106" customFormat="1" ht="15.75" hidden="1" customHeight="1" outlineLevel="1">
      <c r="A461" s="932"/>
      <c r="B461" s="1086"/>
      <c r="C461" s="1095"/>
      <c r="D461" s="1091"/>
      <c r="E461" s="1091"/>
      <c r="F461" s="1093"/>
      <c r="G461" s="98"/>
      <c r="H461" s="839"/>
      <c r="I461" s="1091"/>
      <c r="J461" s="1084"/>
      <c r="K461" s="1084"/>
      <c r="L461" s="932"/>
      <c r="M461" s="932"/>
    </row>
    <row r="462" spans="1:13" s="106" customFormat="1" ht="15.75" hidden="1" customHeight="1" outlineLevel="1">
      <c r="A462" s="932"/>
      <c r="B462" s="1087"/>
      <c r="C462" s="1096"/>
      <c r="D462" s="1092"/>
      <c r="E462" s="1092"/>
      <c r="F462" s="1094"/>
      <c r="G462" s="103"/>
      <c r="H462" s="840"/>
      <c r="I462" s="1092"/>
      <c r="J462" s="1085"/>
      <c r="K462" s="1085"/>
      <c r="L462" s="932"/>
      <c r="M462" s="932"/>
    </row>
    <row r="463" spans="1:13" s="106" customFormat="1" ht="15.75" hidden="1" customHeight="1" outlineLevel="1">
      <c r="A463" s="932"/>
      <c r="B463" s="1086">
        <v>151</v>
      </c>
      <c r="C463" s="1095"/>
      <c r="D463" s="1091"/>
      <c r="E463" s="1091" t="s">
        <v>20</v>
      </c>
      <c r="F463" s="1093" t="str">
        <f>VLOOKUP(E463,$N$13:$O$17,2,0)</f>
        <v>-</v>
      </c>
      <c r="G463" s="95"/>
      <c r="H463" s="839"/>
      <c r="I463" s="1091"/>
      <c r="J463" s="1083"/>
      <c r="K463" s="1083"/>
      <c r="L463" s="932"/>
      <c r="M463" s="932"/>
    </row>
    <row r="464" spans="1:13" s="106" customFormat="1" ht="15.75" hidden="1" customHeight="1" outlineLevel="1">
      <c r="A464" s="932"/>
      <c r="B464" s="1086"/>
      <c r="C464" s="1095"/>
      <c r="D464" s="1091"/>
      <c r="E464" s="1091"/>
      <c r="F464" s="1093"/>
      <c r="G464" s="98"/>
      <c r="H464" s="839"/>
      <c r="I464" s="1091"/>
      <c r="J464" s="1084"/>
      <c r="K464" s="1084"/>
      <c r="L464" s="932"/>
      <c r="M464" s="932"/>
    </row>
    <row r="465" spans="1:13" s="106" customFormat="1" ht="15.75" hidden="1" customHeight="1" outlineLevel="1">
      <c r="A465" s="932"/>
      <c r="B465" s="1087"/>
      <c r="C465" s="1096"/>
      <c r="D465" s="1092"/>
      <c r="E465" s="1092"/>
      <c r="F465" s="1094"/>
      <c r="G465" s="103"/>
      <c r="H465" s="840"/>
      <c r="I465" s="1092"/>
      <c r="J465" s="1085"/>
      <c r="K465" s="1085"/>
      <c r="L465" s="932"/>
      <c r="M465" s="932"/>
    </row>
    <row r="466" spans="1:13" s="106" customFormat="1" ht="15.75" hidden="1" customHeight="1" outlineLevel="1">
      <c r="A466" s="932"/>
      <c r="B466" s="1086">
        <v>152</v>
      </c>
      <c r="C466" s="1095"/>
      <c r="D466" s="1091"/>
      <c r="E466" s="1091" t="s">
        <v>20</v>
      </c>
      <c r="F466" s="1093" t="str">
        <f>VLOOKUP(E466,$N$13:$O$17,2,0)</f>
        <v>-</v>
      </c>
      <c r="G466" s="95"/>
      <c r="H466" s="839"/>
      <c r="I466" s="1091"/>
      <c r="J466" s="1083"/>
      <c r="K466" s="1083"/>
      <c r="L466" s="932"/>
      <c r="M466" s="932"/>
    </row>
    <row r="467" spans="1:13" s="106" customFormat="1" ht="15.75" hidden="1" customHeight="1" outlineLevel="1">
      <c r="A467" s="932"/>
      <c r="B467" s="1086"/>
      <c r="C467" s="1095"/>
      <c r="D467" s="1091"/>
      <c r="E467" s="1091"/>
      <c r="F467" s="1093"/>
      <c r="G467" s="98"/>
      <c r="H467" s="839"/>
      <c r="I467" s="1091"/>
      <c r="J467" s="1084"/>
      <c r="K467" s="1084"/>
      <c r="L467" s="932"/>
      <c r="M467" s="932"/>
    </row>
    <row r="468" spans="1:13" s="106" customFormat="1" ht="15.75" hidden="1" customHeight="1" outlineLevel="1">
      <c r="A468" s="932"/>
      <c r="B468" s="1087"/>
      <c r="C468" s="1096"/>
      <c r="D468" s="1092"/>
      <c r="E468" s="1092"/>
      <c r="F468" s="1094"/>
      <c r="G468" s="103"/>
      <c r="H468" s="840"/>
      <c r="I468" s="1092"/>
      <c r="J468" s="1085"/>
      <c r="K468" s="1085"/>
      <c r="L468" s="932"/>
      <c r="M468" s="932"/>
    </row>
    <row r="469" spans="1:13" s="106" customFormat="1" ht="15.75" hidden="1" customHeight="1" outlineLevel="1">
      <c r="A469" s="932"/>
      <c r="B469" s="1086">
        <v>153</v>
      </c>
      <c r="C469" s="1095"/>
      <c r="D469" s="1091"/>
      <c r="E469" s="1091" t="s">
        <v>20</v>
      </c>
      <c r="F469" s="1093" t="str">
        <f>VLOOKUP(E469,$N$13:$O$17,2,0)</f>
        <v>-</v>
      </c>
      <c r="G469" s="95"/>
      <c r="H469" s="839"/>
      <c r="I469" s="1091"/>
      <c r="J469" s="1083"/>
      <c r="K469" s="1083"/>
      <c r="L469" s="932"/>
      <c r="M469" s="932"/>
    </row>
    <row r="470" spans="1:13" s="106" customFormat="1" ht="15.75" hidden="1" customHeight="1" outlineLevel="1">
      <c r="A470" s="932"/>
      <c r="B470" s="1086"/>
      <c r="C470" s="1095"/>
      <c r="D470" s="1091"/>
      <c r="E470" s="1091"/>
      <c r="F470" s="1093"/>
      <c r="G470" s="98"/>
      <c r="H470" s="839"/>
      <c r="I470" s="1091"/>
      <c r="J470" s="1084"/>
      <c r="K470" s="1084"/>
      <c r="L470" s="932"/>
      <c r="M470" s="932"/>
    </row>
    <row r="471" spans="1:13" s="106" customFormat="1" ht="15.75" hidden="1" customHeight="1" outlineLevel="1">
      <c r="A471" s="932"/>
      <c r="B471" s="1087"/>
      <c r="C471" s="1096"/>
      <c r="D471" s="1092"/>
      <c r="E471" s="1092"/>
      <c r="F471" s="1094"/>
      <c r="G471" s="103"/>
      <c r="H471" s="840"/>
      <c r="I471" s="1092"/>
      <c r="J471" s="1085"/>
      <c r="K471" s="1085"/>
      <c r="L471" s="932"/>
      <c r="M471" s="932"/>
    </row>
    <row r="472" spans="1:13" s="106" customFormat="1" ht="15.75" hidden="1" customHeight="1" outlineLevel="1">
      <c r="A472" s="932"/>
      <c r="B472" s="1086">
        <v>154</v>
      </c>
      <c r="C472" s="1095"/>
      <c r="D472" s="1091"/>
      <c r="E472" s="1091" t="s">
        <v>20</v>
      </c>
      <c r="F472" s="1093" t="str">
        <f>VLOOKUP(E472,$N$13:$O$17,2,0)</f>
        <v>-</v>
      </c>
      <c r="G472" s="95"/>
      <c r="H472" s="839"/>
      <c r="I472" s="1091"/>
      <c r="J472" s="1083"/>
      <c r="K472" s="1083"/>
      <c r="L472" s="932"/>
      <c r="M472" s="932"/>
    </row>
    <row r="473" spans="1:13" s="106" customFormat="1" ht="15.75" hidden="1" customHeight="1" outlineLevel="1">
      <c r="A473" s="932"/>
      <c r="B473" s="1086"/>
      <c r="C473" s="1095"/>
      <c r="D473" s="1091"/>
      <c r="E473" s="1091"/>
      <c r="F473" s="1093"/>
      <c r="G473" s="98"/>
      <c r="H473" s="839"/>
      <c r="I473" s="1091"/>
      <c r="J473" s="1084"/>
      <c r="K473" s="1084"/>
      <c r="L473" s="932"/>
      <c r="M473" s="932"/>
    </row>
    <row r="474" spans="1:13" s="106" customFormat="1" ht="15.75" hidden="1" customHeight="1" outlineLevel="1">
      <c r="A474" s="932"/>
      <c r="B474" s="1087"/>
      <c r="C474" s="1096"/>
      <c r="D474" s="1092"/>
      <c r="E474" s="1092"/>
      <c r="F474" s="1094"/>
      <c r="G474" s="103"/>
      <c r="H474" s="840"/>
      <c r="I474" s="1092"/>
      <c r="J474" s="1085"/>
      <c r="K474" s="1085"/>
      <c r="L474" s="932"/>
      <c r="M474" s="932"/>
    </row>
    <row r="475" spans="1:13" s="106" customFormat="1" ht="15.75" hidden="1" customHeight="1" outlineLevel="1">
      <c r="A475" s="932"/>
      <c r="B475" s="1086">
        <v>155</v>
      </c>
      <c r="C475" s="1095"/>
      <c r="D475" s="1091"/>
      <c r="E475" s="1091" t="s">
        <v>20</v>
      </c>
      <c r="F475" s="1093" t="str">
        <f>VLOOKUP(E475,$N$13:$O$17,2,0)</f>
        <v>-</v>
      </c>
      <c r="G475" s="95"/>
      <c r="H475" s="839"/>
      <c r="I475" s="1091"/>
      <c r="J475" s="1083"/>
      <c r="K475" s="1083"/>
      <c r="L475" s="932"/>
      <c r="M475" s="932"/>
    </row>
    <row r="476" spans="1:13" s="106" customFormat="1" ht="15.75" hidden="1" customHeight="1" outlineLevel="1">
      <c r="A476" s="932"/>
      <c r="B476" s="1086"/>
      <c r="C476" s="1095"/>
      <c r="D476" s="1091"/>
      <c r="E476" s="1091"/>
      <c r="F476" s="1093"/>
      <c r="G476" s="98"/>
      <c r="H476" s="839"/>
      <c r="I476" s="1091"/>
      <c r="J476" s="1084"/>
      <c r="K476" s="1084"/>
      <c r="L476" s="932"/>
      <c r="M476" s="932"/>
    </row>
    <row r="477" spans="1:13" s="106" customFormat="1" ht="15.75" hidden="1" customHeight="1" outlineLevel="1">
      <c r="A477" s="932"/>
      <c r="B477" s="1087"/>
      <c r="C477" s="1096"/>
      <c r="D477" s="1092"/>
      <c r="E477" s="1092"/>
      <c r="F477" s="1094"/>
      <c r="G477" s="103"/>
      <c r="H477" s="840"/>
      <c r="I477" s="1092"/>
      <c r="J477" s="1085"/>
      <c r="K477" s="1085"/>
      <c r="L477" s="932"/>
      <c r="M477" s="932"/>
    </row>
    <row r="478" spans="1:13" s="106" customFormat="1" ht="15.75" hidden="1" customHeight="1" outlineLevel="1">
      <c r="A478" s="932"/>
      <c r="B478" s="1086">
        <v>156</v>
      </c>
      <c r="C478" s="1095"/>
      <c r="D478" s="1091"/>
      <c r="E478" s="1091" t="s">
        <v>20</v>
      </c>
      <c r="F478" s="1093" t="str">
        <f>VLOOKUP(E478,$N$13:$O$17,2,0)</f>
        <v>-</v>
      </c>
      <c r="G478" s="95"/>
      <c r="H478" s="839"/>
      <c r="I478" s="1091"/>
      <c r="J478" s="1083"/>
      <c r="K478" s="1083"/>
      <c r="L478" s="932"/>
      <c r="M478" s="932"/>
    </row>
    <row r="479" spans="1:13" s="106" customFormat="1" ht="15.75" hidden="1" customHeight="1" outlineLevel="1">
      <c r="A479" s="932"/>
      <c r="B479" s="1086"/>
      <c r="C479" s="1095"/>
      <c r="D479" s="1091"/>
      <c r="E479" s="1091"/>
      <c r="F479" s="1093"/>
      <c r="G479" s="98"/>
      <c r="H479" s="839"/>
      <c r="I479" s="1091"/>
      <c r="J479" s="1084"/>
      <c r="K479" s="1084"/>
      <c r="L479" s="932"/>
      <c r="M479" s="932"/>
    </row>
    <row r="480" spans="1:13" s="106" customFormat="1" ht="15.75" hidden="1" customHeight="1" outlineLevel="1">
      <c r="A480" s="932"/>
      <c r="B480" s="1087"/>
      <c r="C480" s="1096"/>
      <c r="D480" s="1092"/>
      <c r="E480" s="1092"/>
      <c r="F480" s="1094"/>
      <c r="G480" s="103"/>
      <c r="H480" s="840"/>
      <c r="I480" s="1092"/>
      <c r="J480" s="1085"/>
      <c r="K480" s="1085"/>
      <c r="L480" s="932"/>
      <c r="M480" s="932"/>
    </row>
    <row r="481" spans="1:13" s="106" customFormat="1" ht="15.75" hidden="1" customHeight="1" outlineLevel="1">
      <c r="A481" s="932"/>
      <c r="B481" s="1086">
        <v>157</v>
      </c>
      <c r="C481" s="1095"/>
      <c r="D481" s="1091"/>
      <c r="E481" s="1091" t="s">
        <v>20</v>
      </c>
      <c r="F481" s="1093" t="str">
        <f>VLOOKUP(E481,$N$13:$O$17,2,0)</f>
        <v>-</v>
      </c>
      <c r="G481" s="95"/>
      <c r="H481" s="839"/>
      <c r="I481" s="1091"/>
      <c r="J481" s="1083"/>
      <c r="K481" s="1083"/>
      <c r="L481" s="932"/>
      <c r="M481" s="932"/>
    </row>
    <row r="482" spans="1:13" s="106" customFormat="1" ht="15.75" hidden="1" customHeight="1" outlineLevel="1">
      <c r="A482" s="932"/>
      <c r="B482" s="1086"/>
      <c r="C482" s="1095"/>
      <c r="D482" s="1091"/>
      <c r="E482" s="1091"/>
      <c r="F482" s="1093"/>
      <c r="G482" s="98"/>
      <c r="H482" s="839"/>
      <c r="I482" s="1091"/>
      <c r="J482" s="1084"/>
      <c r="K482" s="1084"/>
      <c r="L482" s="932"/>
      <c r="M482" s="932"/>
    </row>
    <row r="483" spans="1:13" s="106" customFormat="1" ht="15.75" hidden="1" customHeight="1" outlineLevel="1">
      <c r="A483" s="932"/>
      <c r="B483" s="1087"/>
      <c r="C483" s="1096"/>
      <c r="D483" s="1092"/>
      <c r="E483" s="1092"/>
      <c r="F483" s="1094"/>
      <c r="G483" s="103"/>
      <c r="H483" s="840"/>
      <c r="I483" s="1092"/>
      <c r="J483" s="1085"/>
      <c r="K483" s="1085"/>
      <c r="L483" s="932"/>
      <c r="M483" s="932"/>
    </row>
    <row r="484" spans="1:13" s="106" customFormat="1" ht="15.75" hidden="1" customHeight="1" outlineLevel="1">
      <c r="A484" s="932"/>
      <c r="B484" s="1086">
        <v>158</v>
      </c>
      <c r="C484" s="1095"/>
      <c r="D484" s="1091"/>
      <c r="E484" s="1091" t="s">
        <v>20</v>
      </c>
      <c r="F484" s="1093" t="str">
        <f>VLOOKUP(E484,$N$13:$O$17,2,0)</f>
        <v>-</v>
      </c>
      <c r="G484" s="95"/>
      <c r="H484" s="839"/>
      <c r="I484" s="1091"/>
      <c r="J484" s="1083"/>
      <c r="K484" s="1083"/>
      <c r="L484" s="932"/>
      <c r="M484" s="932"/>
    </row>
    <row r="485" spans="1:13" s="106" customFormat="1" ht="15.75" hidden="1" customHeight="1" outlineLevel="1">
      <c r="A485" s="932"/>
      <c r="B485" s="1086"/>
      <c r="C485" s="1095"/>
      <c r="D485" s="1091"/>
      <c r="E485" s="1091"/>
      <c r="F485" s="1093"/>
      <c r="G485" s="98"/>
      <c r="H485" s="839"/>
      <c r="I485" s="1091"/>
      <c r="J485" s="1084"/>
      <c r="K485" s="1084"/>
      <c r="L485" s="932"/>
      <c r="M485" s="932"/>
    </row>
    <row r="486" spans="1:13" s="106" customFormat="1" ht="15.75" hidden="1" customHeight="1" outlineLevel="1">
      <c r="A486" s="932"/>
      <c r="B486" s="1087"/>
      <c r="C486" s="1096"/>
      <c r="D486" s="1092"/>
      <c r="E486" s="1092"/>
      <c r="F486" s="1094"/>
      <c r="G486" s="103"/>
      <c r="H486" s="840"/>
      <c r="I486" s="1092"/>
      <c r="J486" s="1085"/>
      <c r="K486" s="1085"/>
      <c r="L486" s="932"/>
      <c r="M486" s="932"/>
    </row>
    <row r="487" spans="1:13" s="106" customFormat="1" ht="15.75" hidden="1" customHeight="1" outlineLevel="1">
      <c r="A487" s="932"/>
      <c r="B487" s="1086">
        <v>159</v>
      </c>
      <c r="C487" s="1095"/>
      <c r="D487" s="1091"/>
      <c r="E487" s="1091" t="s">
        <v>20</v>
      </c>
      <c r="F487" s="1093" t="str">
        <f>VLOOKUP(E487,$N$13:$O$17,2,0)</f>
        <v>-</v>
      </c>
      <c r="G487" s="95"/>
      <c r="H487" s="839"/>
      <c r="I487" s="1091"/>
      <c r="J487" s="1083"/>
      <c r="K487" s="1083"/>
      <c r="L487" s="932"/>
      <c r="M487" s="932"/>
    </row>
    <row r="488" spans="1:13" s="106" customFormat="1" ht="15.75" hidden="1" customHeight="1" outlineLevel="1">
      <c r="A488" s="932"/>
      <c r="B488" s="1086"/>
      <c r="C488" s="1095"/>
      <c r="D488" s="1091"/>
      <c r="E488" s="1091"/>
      <c r="F488" s="1093"/>
      <c r="G488" s="98"/>
      <c r="H488" s="839"/>
      <c r="I488" s="1091"/>
      <c r="J488" s="1084"/>
      <c r="K488" s="1084"/>
      <c r="L488" s="932"/>
      <c r="M488" s="932"/>
    </row>
    <row r="489" spans="1:13" s="106" customFormat="1" ht="15.75" hidden="1" customHeight="1" outlineLevel="1">
      <c r="A489" s="932"/>
      <c r="B489" s="1087"/>
      <c r="C489" s="1096"/>
      <c r="D489" s="1092"/>
      <c r="E489" s="1092"/>
      <c r="F489" s="1094"/>
      <c r="G489" s="103"/>
      <c r="H489" s="840"/>
      <c r="I489" s="1092"/>
      <c r="J489" s="1085"/>
      <c r="K489" s="1085"/>
      <c r="L489" s="932"/>
      <c r="M489" s="932"/>
    </row>
    <row r="490" spans="1:13" s="106" customFormat="1" ht="15.75" hidden="1" customHeight="1" outlineLevel="1">
      <c r="A490" s="932"/>
      <c r="B490" s="1086">
        <v>160</v>
      </c>
      <c r="C490" s="1095"/>
      <c r="D490" s="1091"/>
      <c r="E490" s="1091" t="s">
        <v>20</v>
      </c>
      <c r="F490" s="1093" t="str">
        <f>VLOOKUP(E490,$N$13:$O$17,2,0)</f>
        <v>-</v>
      </c>
      <c r="G490" s="95"/>
      <c r="H490" s="839"/>
      <c r="I490" s="1091"/>
      <c r="J490" s="1083"/>
      <c r="K490" s="1083"/>
      <c r="L490" s="932"/>
      <c r="M490" s="932"/>
    </row>
    <row r="491" spans="1:13" s="106" customFormat="1" ht="15.75" hidden="1" customHeight="1" outlineLevel="1">
      <c r="A491" s="932"/>
      <c r="B491" s="1086"/>
      <c r="C491" s="1095"/>
      <c r="D491" s="1091"/>
      <c r="E491" s="1091"/>
      <c r="F491" s="1093"/>
      <c r="G491" s="98"/>
      <c r="H491" s="839"/>
      <c r="I491" s="1091"/>
      <c r="J491" s="1084"/>
      <c r="K491" s="1084"/>
      <c r="L491" s="932"/>
      <c r="M491" s="932"/>
    </row>
    <row r="492" spans="1:13" s="106" customFormat="1" ht="15.75" hidden="1" customHeight="1" outlineLevel="1">
      <c r="A492" s="932"/>
      <c r="B492" s="1087"/>
      <c r="C492" s="1096"/>
      <c r="D492" s="1092"/>
      <c r="E492" s="1092"/>
      <c r="F492" s="1094"/>
      <c r="G492" s="103"/>
      <c r="H492" s="840"/>
      <c r="I492" s="1092"/>
      <c r="J492" s="1085"/>
      <c r="K492" s="1085"/>
      <c r="L492" s="932"/>
      <c r="M492" s="932"/>
    </row>
    <row r="493" spans="1:13" s="106" customFormat="1" ht="15.75" hidden="1" customHeight="1" outlineLevel="1">
      <c r="A493" s="932"/>
      <c r="B493" s="1086">
        <v>161</v>
      </c>
      <c r="C493" s="1095"/>
      <c r="D493" s="1091"/>
      <c r="E493" s="1091" t="s">
        <v>20</v>
      </c>
      <c r="F493" s="1093" t="str">
        <f>VLOOKUP(E493,$N$13:$O$17,2,0)</f>
        <v>-</v>
      </c>
      <c r="G493" s="95"/>
      <c r="H493" s="839"/>
      <c r="I493" s="1091"/>
      <c r="J493" s="1083"/>
      <c r="K493" s="1083"/>
      <c r="L493" s="932"/>
      <c r="M493" s="932"/>
    </row>
    <row r="494" spans="1:13" s="106" customFormat="1" ht="15.75" hidden="1" customHeight="1" outlineLevel="1">
      <c r="A494" s="932"/>
      <c r="B494" s="1086"/>
      <c r="C494" s="1095"/>
      <c r="D494" s="1091"/>
      <c r="E494" s="1091"/>
      <c r="F494" s="1093"/>
      <c r="G494" s="98"/>
      <c r="H494" s="839"/>
      <c r="I494" s="1091"/>
      <c r="J494" s="1084"/>
      <c r="K494" s="1084"/>
      <c r="L494" s="932"/>
      <c r="M494" s="932"/>
    </row>
    <row r="495" spans="1:13" s="106" customFormat="1" ht="15.75" hidden="1" customHeight="1" outlineLevel="1">
      <c r="A495" s="932"/>
      <c r="B495" s="1087"/>
      <c r="C495" s="1096"/>
      <c r="D495" s="1092"/>
      <c r="E495" s="1092"/>
      <c r="F495" s="1094"/>
      <c r="G495" s="103"/>
      <c r="H495" s="840"/>
      <c r="I495" s="1092"/>
      <c r="J495" s="1085"/>
      <c r="K495" s="1085"/>
      <c r="L495" s="932"/>
      <c r="M495" s="932"/>
    </row>
    <row r="496" spans="1:13" s="106" customFormat="1" ht="15.75" hidden="1" customHeight="1" outlineLevel="1">
      <c r="A496" s="932"/>
      <c r="B496" s="1086">
        <v>162</v>
      </c>
      <c r="C496" s="1095"/>
      <c r="D496" s="1091"/>
      <c r="E496" s="1091" t="s">
        <v>20</v>
      </c>
      <c r="F496" s="1093" t="str">
        <f>VLOOKUP(E496,$N$13:$O$17,2,0)</f>
        <v>-</v>
      </c>
      <c r="G496" s="95"/>
      <c r="H496" s="839"/>
      <c r="I496" s="1091"/>
      <c r="J496" s="1083"/>
      <c r="K496" s="1083"/>
      <c r="L496" s="932"/>
      <c r="M496" s="932"/>
    </row>
    <row r="497" spans="1:13" s="106" customFormat="1" ht="15.75" hidden="1" customHeight="1" outlineLevel="1">
      <c r="A497" s="932"/>
      <c r="B497" s="1086"/>
      <c r="C497" s="1095"/>
      <c r="D497" s="1091"/>
      <c r="E497" s="1091"/>
      <c r="F497" s="1093"/>
      <c r="G497" s="98"/>
      <c r="H497" s="839"/>
      <c r="I497" s="1091"/>
      <c r="J497" s="1084"/>
      <c r="K497" s="1084"/>
      <c r="L497" s="932"/>
      <c r="M497" s="932"/>
    </row>
    <row r="498" spans="1:13" s="106" customFormat="1" ht="15.75" hidden="1" customHeight="1" outlineLevel="1">
      <c r="A498" s="932"/>
      <c r="B498" s="1087"/>
      <c r="C498" s="1096"/>
      <c r="D498" s="1092"/>
      <c r="E498" s="1092"/>
      <c r="F498" s="1094"/>
      <c r="G498" s="103"/>
      <c r="H498" s="840"/>
      <c r="I498" s="1092"/>
      <c r="J498" s="1085"/>
      <c r="K498" s="1085"/>
      <c r="L498" s="932"/>
      <c r="M498" s="932"/>
    </row>
    <row r="499" spans="1:13" s="106" customFormat="1" ht="15.75" hidden="1" customHeight="1" outlineLevel="1">
      <c r="A499" s="932"/>
      <c r="B499" s="1086">
        <v>163</v>
      </c>
      <c r="C499" s="1095"/>
      <c r="D499" s="1091"/>
      <c r="E499" s="1091" t="s">
        <v>20</v>
      </c>
      <c r="F499" s="1093" t="str">
        <f>VLOOKUP(E499,$N$13:$O$17,2,0)</f>
        <v>-</v>
      </c>
      <c r="G499" s="95"/>
      <c r="H499" s="839"/>
      <c r="I499" s="1091"/>
      <c r="J499" s="1083"/>
      <c r="K499" s="1083"/>
      <c r="L499" s="932"/>
      <c r="M499" s="932"/>
    </row>
    <row r="500" spans="1:13" s="106" customFormat="1" ht="15.75" hidden="1" customHeight="1" outlineLevel="1">
      <c r="A500" s="932"/>
      <c r="B500" s="1086"/>
      <c r="C500" s="1095"/>
      <c r="D500" s="1091"/>
      <c r="E500" s="1091"/>
      <c r="F500" s="1093"/>
      <c r="G500" s="98"/>
      <c r="H500" s="839"/>
      <c r="I500" s="1091"/>
      <c r="J500" s="1084"/>
      <c r="K500" s="1084"/>
      <c r="L500" s="932"/>
      <c r="M500" s="932"/>
    </row>
    <row r="501" spans="1:13" s="106" customFormat="1" ht="15.75" hidden="1" customHeight="1" outlineLevel="1">
      <c r="A501" s="932"/>
      <c r="B501" s="1087"/>
      <c r="C501" s="1096"/>
      <c r="D501" s="1092"/>
      <c r="E501" s="1092"/>
      <c r="F501" s="1094"/>
      <c r="G501" s="103"/>
      <c r="H501" s="840"/>
      <c r="I501" s="1092"/>
      <c r="J501" s="1085"/>
      <c r="K501" s="1085"/>
      <c r="L501" s="932"/>
      <c r="M501" s="932"/>
    </row>
    <row r="502" spans="1:13" s="106" customFormat="1" ht="15.75" hidden="1" customHeight="1" outlineLevel="1">
      <c r="A502" s="932"/>
      <c r="B502" s="1086">
        <v>164</v>
      </c>
      <c r="C502" s="1095"/>
      <c r="D502" s="1091"/>
      <c r="E502" s="1091" t="s">
        <v>20</v>
      </c>
      <c r="F502" s="1093" t="str">
        <f>VLOOKUP(E502,$N$13:$O$17,2,0)</f>
        <v>-</v>
      </c>
      <c r="G502" s="95"/>
      <c r="H502" s="839"/>
      <c r="I502" s="1091"/>
      <c r="J502" s="1083"/>
      <c r="K502" s="1083"/>
      <c r="L502" s="932"/>
      <c r="M502" s="932"/>
    </row>
    <row r="503" spans="1:13" s="106" customFormat="1" ht="15.75" hidden="1" customHeight="1" outlineLevel="1">
      <c r="A503" s="932"/>
      <c r="B503" s="1086"/>
      <c r="C503" s="1095"/>
      <c r="D503" s="1091"/>
      <c r="E503" s="1091"/>
      <c r="F503" s="1093"/>
      <c r="G503" s="98"/>
      <c r="H503" s="839"/>
      <c r="I503" s="1091"/>
      <c r="J503" s="1084"/>
      <c r="K503" s="1084"/>
      <c r="L503" s="932"/>
      <c r="M503" s="932"/>
    </row>
    <row r="504" spans="1:13" s="106" customFormat="1" ht="15.75" hidden="1" customHeight="1" outlineLevel="1">
      <c r="A504" s="932"/>
      <c r="B504" s="1087"/>
      <c r="C504" s="1096"/>
      <c r="D504" s="1092"/>
      <c r="E504" s="1092"/>
      <c r="F504" s="1094"/>
      <c r="G504" s="103"/>
      <c r="H504" s="840"/>
      <c r="I504" s="1092"/>
      <c r="J504" s="1085"/>
      <c r="K504" s="1085"/>
      <c r="L504" s="932"/>
      <c r="M504" s="932"/>
    </row>
    <row r="505" spans="1:13" s="106" customFormat="1" ht="15.75" hidden="1" customHeight="1" outlineLevel="1">
      <c r="A505" s="932"/>
      <c r="B505" s="1086">
        <v>165</v>
      </c>
      <c r="C505" s="1095"/>
      <c r="D505" s="1091"/>
      <c r="E505" s="1091" t="s">
        <v>20</v>
      </c>
      <c r="F505" s="1093" t="str">
        <f>VLOOKUP(E505,$N$13:$O$17,2,0)</f>
        <v>-</v>
      </c>
      <c r="G505" s="95"/>
      <c r="H505" s="839"/>
      <c r="I505" s="1091"/>
      <c r="J505" s="1083"/>
      <c r="K505" s="1083"/>
      <c r="L505" s="932"/>
      <c r="M505" s="932"/>
    </row>
    <row r="506" spans="1:13" s="106" customFormat="1" ht="15.75" hidden="1" customHeight="1" outlineLevel="1">
      <c r="A506" s="932"/>
      <c r="B506" s="1086"/>
      <c r="C506" s="1095"/>
      <c r="D506" s="1091"/>
      <c r="E506" s="1091"/>
      <c r="F506" s="1093"/>
      <c r="G506" s="98"/>
      <c r="H506" s="839"/>
      <c r="I506" s="1091"/>
      <c r="J506" s="1084"/>
      <c r="K506" s="1084"/>
      <c r="L506" s="932"/>
      <c r="M506" s="932"/>
    </row>
    <row r="507" spans="1:13" s="106" customFormat="1" ht="15.75" hidden="1" customHeight="1" outlineLevel="1">
      <c r="A507" s="932"/>
      <c r="B507" s="1087"/>
      <c r="C507" s="1096"/>
      <c r="D507" s="1092"/>
      <c r="E507" s="1092"/>
      <c r="F507" s="1094"/>
      <c r="G507" s="103"/>
      <c r="H507" s="840"/>
      <c r="I507" s="1092"/>
      <c r="J507" s="1085"/>
      <c r="K507" s="1085"/>
      <c r="L507" s="932"/>
      <c r="M507" s="932"/>
    </row>
    <row r="508" spans="1:13" s="106" customFormat="1" ht="15.75" hidden="1" customHeight="1" outlineLevel="1">
      <c r="A508" s="932"/>
      <c r="B508" s="1086">
        <v>166</v>
      </c>
      <c r="C508" s="1095"/>
      <c r="D508" s="1091"/>
      <c r="E508" s="1091" t="s">
        <v>20</v>
      </c>
      <c r="F508" s="1093" t="str">
        <f>VLOOKUP(E508,$N$13:$O$17,2,0)</f>
        <v>-</v>
      </c>
      <c r="G508" s="95"/>
      <c r="H508" s="839"/>
      <c r="I508" s="1091"/>
      <c r="J508" s="1083"/>
      <c r="K508" s="1083"/>
      <c r="L508" s="932"/>
      <c r="M508" s="932"/>
    </row>
    <row r="509" spans="1:13" s="106" customFormat="1" ht="15.75" hidden="1" customHeight="1" outlineLevel="1">
      <c r="A509" s="932"/>
      <c r="B509" s="1086"/>
      <c r="C509" s="1095"/>
      <c r="D509" s="1091"/>
      <c r="E509" s="1091"/>
      <c r="F509" s="1093"/>
      <c r="G509" s="98"/>
      <c r="H509" s="839"/>
      <c r="I509" s="1091"/>
      <c r="J509" s="1084"/>
      <c r="K509" s="1084"/>
      <c r="L509" s="932"/>
      <c r="M509" s="932"/>
    </row>
    <row r="510" spans="1:13" s="106" customFormat="1" ht="15.75" hidden="1" customHeight="1" outlineLevel="1">
      <c r="A510" s="932"/>
      <c r="B510" s="1087"/>
      <c r="C510" s="1096"/>
      <c r="D510" s="1092"/>
      <c r="E510" s="1092"/>
      <c r="F510" s="1094"/>
      <c r="G510" s="103"/>
      <c r="H510" s="840"/>
      <c r="I510" s="1092"/>
      <c r="J510" s="1085"/>
      <c r="K510" s="1085"/>
      <c r="L510" s="932"/>
      <c r="M510" s="932"/>
    </row>
    <row r="511" spans="1:13" s="106" customFormat="1" ht="15.75" hidden="1" customHeight="1" outlineLevel="1">
      <c r="A511" s="932"/>
      <c r="B511" s="1086">
        <v>167</v>
      </c>
      <c r="C511" s="1095"/>
      <c r="D511" s="1091"/>
      <c r="E511" s="1091" t="s">
        <v>20</v>
      </c>
      <c r="F511" s="1093" t="str">
        <f>VLOOKUP(E511,$N$13:$O$17,2,0)</f>
        <v>-</v>
      </c>
      <c r="G511" s="95"/>
      <c r="H511" s="839"/>
      <c r="I511" s="1091"/>
      <c r="J511" s="1083"/>
      <c r="K511" s="1083"/>
      <c r="L511" s="932"/>
      <c r="M511" s="932"/>
    </row>
    <row r="512" spans="1:13" s="106" customFormat="1" ht="15.75" hidden="1" customHeight="1" outlineLevel="1">
      <c r="A512" s="932"/>
      <c r="B512" s="1086"/>
      <c r="C512" s="1095"/>
      <c r="D512" s="1091"/>
      <c r="E512" s="1091"/>
      <c r="F512" s="1093"/>
      <c r="G512" s="98"/>
      <c r="H512" s="839"/>
      <c r="I512" s="1091"/>
      <c r="J512" s="1084"/>
      <c r="K512" s="1084"/>
      <c r="L512" s="932"/>
      <c r="M512" s="932"/>
    </row>
    <row r="513" spans="1:13" s="106" customFormat="1" ht="15.75" hidden="1" customHeight="1" outlineLevel="1">
      <c r="A513" s="932"/>
      <c r="B513" s="1087"/>
      <c r="C513" s="1096"/>
      <c r="D513" s="1092"/>
      <c r="E513" s="1092"/>
      <c r="F513" s="1094"/>
      <c r="G513" s="103"/>
      <c r="H513" s="840"/>
      <c r="I513" s="1092"/>
      <c r="J513" s="1085"/>
      <c r="K513" s="1085"/>
      <c r="L513" s="932"/>
      <c r="M513" s="932"/>
    </row>
    <row r="514" spans="1:13" s="106" customFormat="1" ht="15.75" hidden="1" customHeight="1" outlineLevel="1">
      <c r="A514" s="932"/>
      <c r="B514" s="1086">
        <v>168</v>
      </c>
      <c r="C514" s="1095"/>
      <c r="D514" s="1091"/>
      <c r="E514" s="1091" t="s">
        <v>20</v>
      </c>
      <c r="F514" s="1093" t="str">
        <f>VLOOKUP(E514,$N$13:$O$17,2,0)</f>
        <v>-</v>
      </c>
      <c r="G514" s="95"/>
      <c r="H514" s="839"/>
      <c r="I514" s="1091"/>
      <c r="J514" s="1083"/>
      <c r="K514" s="1083"/>
      <c r="L514" s="932"/>
      <c r="M514" s="932"/>
    </row>
    <row r="515" spans="1:13" s="106" customFormat="1" ht="15.75" hidden="1" customHeight="1" outlineLevel="1">
      <c r="A515" s="932"/>
      <c r="B515" s="1086"/>
      <c r="C515" s="1095"/>
      <c r="D515" s="1091"/>
      <c r="E515" s="1091"/>
      <c r="F515" s="1093"/>
      <c r="G515" s="98"/>
      <c r="H515" s="839"/>
      <c r="I515" s="1091"/>
      <c r="J515" s="1084"/>
      <c r="K515" s="1084"/>
      <c r="L515" s="932"/>
      <c r="M515" s="932"/>
    </row>
    <row r="516" spans="1:13" s="106" customFormat="1" ht="15.75" hidden="1" customHeight="1" outlineLevel="1">
      <c r="A516" s="932"/>
      <c r="B516" s="1087"/>
      <c r="C516" s="1096"/>
      <c r="D516" s="1092"/>
      <c r="E516" s="1092"/>
      <c r="F516" s="1094"/>
      <c r="G516" s="103"/>
      <c r="H516" s="840"/>
      <c r="I516" s="1092"/>
      <c r="J516" s="1085"/>
      <c r="K516" s="1085"/>
      <c r="L516" s="932"/>
      <c r="M516" s="932"/>
    </row>
    <row r="517" spans="1:13" s="106" customFormat="1" ht="15.75" hidden="1" customHeight="1" outlineLevel="1">
      <c r="A517" s="932"/>
      <c r="B517" s="1086">
        <v>169</v>
      </c>
      <c r="C517" s="1095"/>
      <c r="D517" s="1091"/>
      <c r="E517" s="1091" t="s">
        <v>20</v>
      </c>
      <c r="F517" s="1093" t="str">
        <f>VLOOKUP(E517,$N$13:$O$17,2,0)</f>
        <v>-</v>
      </c>
      <c r="G517" s="95"/>
      <c r="H517" s="839"/>
      <c r="I517" s="1091"/>
      <c r="J517" s="1083"/>
      <c r="K517" s="1083"/>
      <c r="L517" s="932"/>
      <c r="M517" s="932"/>
    </row>
    <row r="518" spans="1:13" s="106" customFormat="1" ht="15.75" hidden="1" customHeight="1" outlineLevel="1">
      <c r="A518" s="932"/>
      <c r="B518" s="1086"/>
      <c r="C518" s="1095"/>
      <c r="D518" s="1091"/>
      <c r="E518" s="1091"/>
      <c r="F518" s="1093"/>
      <c r="G518" s="98"/>
      <c r="H518" s="839"/>
      <c r="I518" s="1091"/>
      <c r="J518" s="1084"/>
      <c r="K518" s="1084"/>
      <c r="L518" s="932"/>
      <c r="M518" s="932"/>
    </row>
    <row r="519" spans="1:13" s="106" customFormat="1" ht="15.75" hidden="1" customHeight="1" outlineLevel="1">
      <c r="A519" s="932"/>
      <c r="B519" s="1087"/>
      <c r="C519" s="1096"/>
      <c r="D519" s="1092"/>
      <c r="E519" s="1092"/>
      <c r="F519" s="1094"/>
      <c r="G519" s="103"/>
      <c r="H519" s="840"/>
      <c r="I519" s="1092"/>
      <c r="J519" s="1085"/>
      <c r="K519" s="1085"/>
      <c r="L519" s="932"/>
      <c r="M519" s="932"/>
    </row>
    <row r="520" spans="1:13" s="106" customFormat="1" ht="15.75" hidden="1" customHeight="1" outlineLevel="1">
      <c r="A520" s="932"/>
      <c r="B520" s="1086">
        <v>170</v>
      </c>
      <c r="C520" s="1095"/>
      <c r="D520" s="1091"/>
      <c r="E520" s="1091" t="s">
        <v>20</v>
      </c>
      <c r="F520" s="1093" t="str">
        <f>VLOOKUP(E520,$N$13:$O$17,2,0)</f>
        <v>-</v>
      </c>
      <c r="G520" s="95"/>
      <c r="H520" s="839"/>
      <c r="I520" s="1091"/>
      <c r="J520" s="1083"/>
      <c r="K520" s="1083"/>
      <c r="L520" s="932"/>
      <c r="M520" s="932"/>
    </row>
    <row r="521" spans="1:13" s="106" customFormat="1" ht="15.75" hidden="1" customHeight="1" outlineLevel="1">
      <c r="A521" s="932"/>
      <c r="B521" s="1086"/>
      <c r="C521" s="1095"/>
      <c r="D521" s="1091"/>
      <c r="E521" s="1091"/>
      <c r="F521" s="1093"/>
      <c r="G521" s="98"/>
      <c r="H521" s="839"/>
      <c r="I521" s="1091"/>
      <c r="J521" s="1084"/>
      <c r="K521" s="1084"/>
      <c r="L521" s="932"/>
      <c r="M521" s="932"/>
    </row>
    <row r="522" spans="1:13" s="106" customFormat="1" ht="15.75" hidden="1" customHeight="1" outlineLevel="1">
      <c r="A522" s="932"/>
      <c r="B522" s="1087"/>
      <c r="C522" s="1096"/>
      <c r="D522" s="1092"/>
      <c r="E522" s="1092"/>
      <c r="F522" s="1094"/>
      <c r="G522" s="103"/>
      <c r="H522" s="840"/>
      <c r="I522" s="1092"/>
      <c r="J522" s="1085"/>
      <c r="K522" s="1085"/>
      <c r="L522" s="932"/>
      <c r="M522" s="932"/>
    </row>
    <row r="523" spans="1:13" s="106" customFormat="1" ht="15.75" hidden="1" customHeight="1" outlineLevel="1">
      <c r="A523" s="932"/>
      <c r="B523" s="1086">
        <v>171</v>
      </c>
      <c r="C523" s="1095"/>
      <c r="D523" s="1091"/>
      <c r="E523" s="1091" t="s">
        <v>20</v>
      </c>
      <c r="F523" s="1093" t="str">
        <f>VLOOKUP(E523,$N$13:$O$17,2,0)</f>
        <v>-</v>
      </c>
      <c r="G523" s="95"/>
      <c r="H523" s="839"/>
      <c r="I523" s="1091"/>
      <c r="J523" s="1083"/>
      <c r="K523" s="1083"/>
      <c r="L523" s="932"/>
      <c r="M523" s="932"/>
    </row>
    <row r="524" spans="1:13" s="106" customFormat="1" ht="15.75" hidden="1" customHeight="1" outlineLevel="1">
      <c r="A524" s="932"/>
      <c r="B524" s="1086"/>
      <c r="C524" s="1095"/>
      <c r="D524" s="1091"/>
      <c r="E524" s="1091"/>
      <c r="F524" s="1093"/>
      <c r="G524" s="98"/>
      <c r="H524" s="839"/>
      <c r="I524" s="1091"/>
      <c r="J524" s="1084"/>
      <c r="K524" s="1084"/>
      <c r="L524" s="932"/>
      <c r="M524" s="932"/>
    </row>
    <row r="525" spans="1:13" s="106" customFormat="1" ht="15.75" hidden="1" customHeight="1" outlineLevel="1">
      <c r="A525" s="932"/>
      <c r="B525" s="1087"/>
      <c r="C525" s="1096"/>
      <c r="D525" s="1092"/>
      <c r="E525" s="1092"/>
      <c r="F525" s="1094"/>
      <c r="G525" s="103"/>
      <c r="H525" s="840"/>
      <c r="I525" s="1092"/>
      <c r="J525" s="1085"/>
      <c r="K525" s="1085"/>
      <c r="L525" s="932"/>
      <c r="M525" s="932"/>
    </row>
    <row r="526" spans="1:13" s="106" customFormat="1" ht="15.75" hidden="1" customHeight="1" outlineLevel="1">
      <c r="A526" s="932"/>
      <c r="B526" s="1086">
        <v>172</v>
      </c>
      <c r="C526" s="1095"/>
      <c r="D526" s="1091"/>
      <c r="E526" s="1091" t="s">
        <v>20</v>
      </c>
      <c r="F526" s="1093" t="str">
        <f>VLOOKUP(E526,$N$13:$O$17,2,0)</f>
        <v>-</v>
      </c>
      <c r="G526" s="95"/>
      <c r="H526" s="839"/>
      <c r="I526" s="1091"/>
      <c r="J526" s="1083"/>
      <c r="K526" s="1083"/>
      <c r="L526" s="932"/>
      <c r="M526" s="932"/>
    </row>
    <row r="527" spans="1:13" s="106" customFormat="1" ht="15.75" hidden="1" customHeight="1" outlineLevel="1">
      <c r="A527" s="932"/>
      <c r="B527" s="1086"/>
      <c r="C527" s="1095"/>
      <c r="D527" s="1091"/>
      <c r="E527" s="1091"/>
      <c r="F527" s="1093"/>
      <c r="G527" s="98"/>
      <c r="H527" s="839"/>
      <c r="I527" s="1091"/>
      <c r="J527" s="1084"/>
      <c r="K527" s="1084"/>
      <c r="L527" s="932"/>
      <c r="M527" s="932"/>
    </row>
    <row r="528" spans="1:13" s="106" customFormat="1" ht="15.75" hidden="1" customHeight="1" outlineLevel="1">
      <c r="A528" s="932"/>
      <c r="B528" s="1087"/>
      <c r="C528" s="1096"/>
      <c r="D528" s="1092"/>
      <c r="E528" s="1092"/>
      <c r="F528" s="1094"/>
      <c r="G528" s="103"/>
      <c r="H528" s="840"/>
      <c r="I528" s="1092"/>
      <c r="J528" s="1085"/>
      <c r="K528" s="1085"/>
      <c r="L528" s="932"/>
      <c r="M528" s="932"/>
    </row>
    <row r="529" spans="1:13" s="106" customFormat="1" ht="15.75" hidden="1" customHeight="1" outlineLevel="1">
      <c r="A529" s="932"/>
      <c r="B529" s="1086">
        <v>173</v>
      </c>
      <c r="C529" s="1095"/>
      <c r="D529" s="1091"/>
      <c r="E529" s="1091" t="s">
        <v>20</v>
      </c>
      <c r="F529" s="1093" t="str">
        <f>VLOOKUP(E529,$N$13:$O$17,2,0)</f>
        <v>-</v>
      </c>
      <c r="G529" s="95"/>
      <c r="H529" s="839"/>
      <c r="I529" s="1091"/>
      <c r="J529" s="1083"/>
      <c r="K529" s="1083"/>
      <c r="L529" s="932"/>
      <c r="M529" s="932"/>
    </row>
    <row r="530" spans="1:13" s="106" customFormat="1" ht="15.75" hidden="1" customHeight="1" outlineLevel="1">
      <c r="A530" s="932"/>
      <c r="B530" s="1086"/>
      <c r="C530" s="1095"/>
      <c r="D530" s="1091"/>
      <c r="E530" s="1091"/>
      <c r="F530" s="1093"/>
      <c r="G530" s="98"/>
      <c r="H530" s="839"/>
      <c r="I530" s="1091"/>
      <c r="J530" s="1084"/>
      <c r="K530" s="1084"/>
      <c r="L530" s="932"/>
      <c r="M530" s="932"/>
    </row>
    <row r="531" spans="1:13" s="106" customFormat="1" ht="15.75" hidden="1" customHeight="1" outlineLevel="1">
      <c r="A531" s="932"/>
      <c r="B531" s="1087"/>
      <c r="C531" s="1096"/>
      <c r="D531" s="1092"/>
      <c r="E531" s="1092"/>
      <c r="F531" s="1094"/>
      <c r="G531" s="103"/>
      <c r="H531" s="840"/>
      <c r="I531" s="1092"/>
      <c r="J531" s="1085"/>
      <c r="K531" s="1085"/>
      <c r="L531" s="932"/>
      <c r="M531" s="932"/>
    </row>
    <row r="532" spans="1:13" s="106" customFormat="1" ht="15.75" hidden="1" customHeight="1" outlineLevel="1">
      <c r="A532" s="932"/>
      <c r="B532" s="1086">
        <v>174</v>
      </c>
      <c r="C532" s="1095"/>
      <c r="D532" s="1091"/>
      <c r="E532" s="1091" t="s">
        <v>20</v>
      </c>
      <c r="F532" s="1093" t="str">
        <f>VLOOKUP(E532,$N$13:$O$17,2,0)</f>
        <v>-</v>
      </c>
      <c r="G532" s="95"/>
      <c r="H532" s="839"/>
      <c r="I532" s="1091"/>
      <c r="J532" s="1083"/>
      <c r="K532" s="1083"/>
      <c r="L532" s="932"/>
      <c r="M532" s="932"/>
    </row>
    <row r="533" spans="1:13" s="106" customFormat="1" ht="15.75" hidden="1" customHeight="1" outlineLevel="1">
      <c r="A533" s="932"/>
      <c r="B533" s="1086"/>
      <c r="C533" s="1095"/>
      <c r="D533" s="1091"/>
      <c r="E533" s="1091"/>
      <c r="F533" s="1093"/>
      <c r="G533" s="98"/>
      <c r="H533" s="839"/>
      <c r="I533" s="1091"/>
      <c r="J533" s="1084"/>
      <c r="K533" s="1084"/>
      <c r="L533" s="932"/>
      <c r="M533" s="932"/>
    </row>
    <row r="534" spans="1:13" s="106" customFormat="1" ht="15.75" hidden="1" customHeight="1" outlineLevel="1">
      <c r="A534" s="932"/>
      <c r="B534" s="1087"/>
      <c r="C534" s="1096"/>
      <c r="D534" s="1092"/>
      <c r="E534" s="1092"/>
      <c r="F534" s="1094"/>
      <c r="G534" s="103"/>
      <c r="H534" s="840"/>
      <c r="I534" s="1092"/>
      <c r="J534" s="1085"/>
      <c r="K534" s="1085"/>
      <c r="L534" s="932"/>
      <c r="M534" s="932"/>
    </row>
    <row r="535" spans="1:13" s="106" customFormat="1" ht="15.75" hidden="1" customHeight="1" outlineLevel="1">
      <c r="A535" s="932"/>
      <c r="B535" s="1086">
        <v>175</v>
      </c>
      <c r="C535" s="1095"/>
      <c r="D535" s="1091"/>
      <c r="E535" s="1091" t="s">
        <v>20</v>
      </c>
      <c r="F535" s="1093" t="str">
        <f>VLOOKUP(E535,$N$13:$O$17,2,0)</f>
        <v>-</v>
      </c>
      <c r="G535" s="95"/>
      <c r="H535" s="839"/>
      <c r="I535" s="1091"/>
      <c r="J535" s="1083"/>
      <c r="K535" s="1083"/>
      <c r="L535" s="932"/>
      <c r="M535" s="932"/>
    </row>
    <row r="536" spans="1:13" s="106" customFormat="1" ht="15.75" hidden="1" customHeight="1" outlineLevel="1">
      <c r="A536" s="932"/>
      <c r="B536" s="1086"/>
      <c r="C536" s="1095"/>
      <c r="D536" s="1091"/>
      <c r="E536" s="1091"/>
      <c r="F536" s="1093"/>
      <c r="G536" s="98"/>
      <c r="H536" s="839"/>
      <c r="I536" s="1091"/>
      <c r="J536" s="1084"/>
      <c r="K536" s="1084"/>
      <c r="L536" s="932"/>
      <c r="M536" s="932"/>
    </row>
    <row r="537" spans="1:13" s="106" customFormat="1" ht="15.75" hidden="1" customHeight="1" outlineLevel="1">
      <c r="A537" s="932"/>
      <c r="B537" s="1087"/>
      <c r="C537" s="1096"/>
      <c r="D537" s="1092"/>
      <c r="E537" s="1092"/>
      <c r="F537" s="1094"/>
      <c r="G537" s="103"/>
      <c r="H537" s="840"/>
      <c r="I537" s="1092"/>
      <c r="J537" s="1085"/>
      <c r="K537" s="1085"/>
      <c r="L537" s="932"/>
      <c r="M537" s="932"/>
    </row>
    <row r="538" spans="1:13" s="106" customFormat="1" ht="15.75" hidden="1" customHeight="1" outlineLevel="1">
      <c r="A538" s="932"/>
      <c r="B538" s="1086">
        <v>176</v>
      </c>
      <c r="C538" s="1095"/>
      <c r="D538" s="1091"/>
      <c r="E538" s="1091" t="s">
        <v>20</v>
      </c>
      <c r="F538" s="1093" t="str">
        <f>VLOOKUP(E538,$N$13:$O$17,2,0)</f>
        <v>-</v>
      </c>
      <c r="G538" s="95"/>
      <c r="H538" s="839"/>
      <c r="I538" s="1091"/>
      <c r="J538" s="1083"/>
      <c r="K538" s="1083"/>
      <c r="L538" s="932"/>
      <c r="M538" s="932"/>
    </row>
    <row r="539" spans="1:13" s="106" customFormat="1" ht="15.75" hidden="1" customHeight="1" outlineLevel="1">
      <c r="A539" s="932"/>
      <c r="B539" s="1086"/>
      <c r="C539" s="1095"/>
      <c r="D539" s="1091"/>
      <c r="E539" s="1091"/>
      <c r="F539" s="1093"/>
      <c r="G539" s="98"/>
      <c r="H539" s="839"/>
      <c r="I539" s="1091"/>
      <c r="J539" s="1084"/>
      <c r="K539" s="1084"/>
      <c r="L539" s="932"/>
      <c r="M539" s="932"/>
    </row>
    <row r="540" spans="1:13" s="106" customFormat="1" ht="15.75" hidden="1" customHeight="1" outlineLevel="1">
      <c r="A540" s="932"/>
      <c r="B540" s="1087"/>
      <c r="C540" s="1096"/>
      <c r="D540" s="1092"/>
      <c r="E540" s="1092"/>
      <c r="F540" s="1094"/>
      <c r="G540" s="103"/>
      <c r="H540" s="840"/>
      <c r="I540" s="1092"/>
      <c r="J540" s="1085"/>
      <c r="K540" s="1085"/>
      <c r="L540" s="932"/>
      <c r="M540" s="932"/>
    </row>
    <row r="541" spans="1:13" s="106" customFormat="1" ht="15.75" hidden="1" customHeight="1" outlineLevel="1">
      <c r="A541" s="932"/>
      <c r="B541" s="1086">
        <v>177</v>
      </c>
      <c r="C541" s="1095"/>
      <c r="D541" s="1091"/>
      <c r="E541" s="1091" t="s">
        <v>20</v>
      </c>
      <c r="F541" s="1093" t="str">
        <f>VLOOKUP(E541,$N$13:$O$17,2,0)</f>
        <v>-</v>
      </c>
      <c r="G541" s="95"/>
      <c r="H541" s="839"/>
      <c r="I541" s="1091"/>
      <c r="J541" s="1083"/>
      <c r="K541" s="1083"/>
      <c r="L541" s="932"/>
      <c r="M541" s="932"/>
    </row>
    <row r="542" spans="1:13" s="106" customFormat="1" ht="15.75" hidden="1" customHeight="1" outlineLevel="1">
      <c r="A542" s="932"/>
      <c r="B542" s="1086"/>
      <c r="C542" s="1095"/>
      <c r="D542" s="1091"/>
      <c r="E542" s="1091"/>
      <c r="F542" s="1093"/>
      <c r="G542" s="98"/>
      <c r="H542" s="839"/>
      <c r="I542" s="1091"/>
      <c r="J542" s="1084"/>
      <c r="K542" s="1084"/>
      <c r="L542" s="932"/>
      <c r="M542" s="932"/>
    </row>
    <row r="543" spans="1:13" s="106" customFormat="1" ht="15.75" hidden="1" customHeight="1" outlineLevel="1">
      <c r="A543" s="932"/>
      <c r="B543" s="1087"/>
      <c r="C543" s="1096"/>
      <c r="D543" s="1092"/>
      <c r="E543" s="1092"/>
      <c r="F543" s="1094"/>
      <c r="G543" s="103"/>
      <c r="H543" s="840"/>
      <c r="I543" s="1092"/>
      <c r="J543" s="1085"/>
      <c r="K543" s="1085"/>
      <c r="L543" s="932"/>
      <c r="M543" s="932"/>
    </row>
    <row r="544" spans="1:13" s="106" customFormat="1" ht="15.75" hidden="1" customHeight="1" outlineLevel="1">
      <c r="A544" s="932"/>
      <c r="B544" s="1086">
        <v>178</v>
      </c>
      <c r="C544" s="1095"/>
      <c r="D544" s="1091"/>
      <c r="E544" s="1091" t="s">
        <v>20</v>
      </c>
      <c r="F544" s="1093" t="str">
        <f>VLOOKUP(E544,$N$13:$O$17,2,0)</f>
        <v>-</v>
      </c>
      <c r="G544" s="95"/>
      <c r="H544" s="839"/>
      <c r="I544" s="1091"/>
      <c r="J544" s="1083"/>
      <c r="K544" s="1083"/>
      <c r="L544" s="932"/>
      <c r="M544" s="932"/>
    </row>
    <row r="545" spans="1:13" s="106" customFormat="1" ht="15.75" hidden="1" customHeight="1" outlineLevel="1">
      <c r="A545" s="932"/>
      <c r="B545" s="1086"/>
      <c r="C545" s="1095"/>
      <c r="D545" s="1091"/>
      <c r="E545" s="1091"/>
      <c r="F545" s="1093"/>
      <c r="G545" s="98"/>
      <c r="H545" s="839"/>
      <c r="I545" s="1091"/>
      <c r="J545" s="1084"/>
      <c r="K545" s="1084"/>
      <c r="L545" s="932"/>
      <c r="M545" s="932"/>
    </row>
    <row r="546" spans="1:13" s="106" customFormat="1" ht="15.75" hidden="1" customHeight="1" outlineLevel="1">
      <c r="A546" s="932"/>
      <c r="B546" s="1087"/>
      <c r="C546" s="1096"/>
      <c r="D546" s="1092"/>
      <c r="E546" s="1092"/>
      <c r="F546" s="1094"/>
      <c r="G546" s="103"/>
      <c r="H546" s="840"/>
      <c r="I546" s="1092"/>
      <c r="J546" s="1085"/>
      <c r="K546" s="1085"/>
      <c r="L546" s="932"/>
      <c r="M546" s="932"/>
    </row>
    <row r="547" spans="1:13" s="106" customFormat="1" ht="15.75" hidden="1" customHeight="1" outlineLevel="1">
      <c r="A547" s="932"/>
      <c r="B547" s="1086">
        <v>179</v>
      </c>
      <c r="C547" s="1095"/>
      <c r="D547" s="1091"/>
      <c r="E547" s="1091" t="s">
        <v>20</v>
      </c>
      <c r="F547" s="1093" t="str">
        <f>VLOOKUP(E547,$N$13:$O$17,2,0)</f>
        <v>-</v>
      </c>
      <c r="G547" s="95"/>
      <c r="H547" s="839"/>
      <c r="I547" s="1091"/>
      <c r="J547" s="1083"/>
      <c r="K547" s="1083"/>
      <c r="L547" s="932"/>
      <c r="M547" s="932"/>
    </row>
    <row r="548" spans="1:13" s="106" customFormat="1" ht="15.75" hidden="1" customHeight="1" outlineLevel="1">
      <c r="A548" s="932"/>
      <c r="B548" s="1086"/>
      <c r="C548" s="1095"/>
      <c r="D548" s="1091"/>
      <c r="E548" s="1091"/>
      <c r="F548" s="1093"/>
      <c r="G548" s="98"/>
      <c r="H548" s="839"/>
      <c r="I548" s="1091"/>
      <c r="J548" s="1084"/>
      <c r="K548" s="1084"/>
      <c r="L548" s="932"/>
      <c r="M548" s="932"/>
    </row>
    <row r="549" spans="1:13" s="106" customFormat="1" ht="15.75" hidden="1" customHeight="1" outlineLevel="1">
      <c r="A549" s="932"/>
      <c r="B549" s="1087"/>
      <c r="C549" s="1096"/>
      <c r="D549" s="1092"/>
      <c r="E549" s="1092"/>
      <c r="F549" s="1094"/>
      <c r="G549" s="103"/>
      <c r="H549" s="840"/>
      <c r="I549" s="1092"/>
      <c r="J549" s="1085"/>
      <c r="K549" s="1085"/>
      <c r="L549" s="932"/>
      <c r="M549" s="932"/>
    </row>
    <row r="550" spans="1:13" s="106" customFormat="1" ht="15.75" hidden="1" customHeight="1" outlineLevel="1">
      <c r="A550" s="932"/>
      <c r="B550" s="1086">
        <v>180</v>
      </c>
      <c r="C550" s="1095"/>
      <c r="D550" s="1091"/>
      <c r="E550" s="1091" t="s">
        <v>20</v>
      </c>
      <c r="F550" s="1093" t="str">
        <f>VLOOKUP(E550,$N$13:$O$17,2,0)</f>
        <v>-</v>
      </c>
      <c r="G550" s="95"/>
      <c r="H550" s="839"/>
      <c r="I550" s="1091"/>
      <c r="J550" s="1083"/>
      <c r="K550" s="1083"/>
      <c r="L550" s="932"/>
      <c r="M550" s="932"/>
    </row>
    <row r="551" spans="1:13" s="106" customFormat="1" ht="15.75" hidden="1" customHeight="1" outlineLevel="1">
      <c r="A551" s="932"/>
      <c r="B551" s="1086"/>
      <c r="C551" s="1095"/>
      <c r="D551" s="1091"/>
      <c r="E551" s="1091"/>
      <c r="F551" s="1093"/>
      <c r="G551" s="98"/>
      <c r="H551" s="839"/>
      <c r="I551" s="1091"/>
      <c r="J551" s="1084"/>
      <c r="K551" s="1084"/>
      <c r="L551" s="932"/>
      <c r="M551" s="932"/>
    </row>
    <row r="552" spans="1:13" s="106" customFormat="1" ht="15.75" hidden="1" customHeight="1" outlineLevel="1">
      <c r="A552" s="932"/>
      <c r="B552" s="1087"/>
      <c r="C552" s="1096"/>
      <c r="D552" s="1092"/>
      <c r="E552" s="1092"/>
      <c r="F552" s="1094"/>
      <c r="G552" s="103"/>
      <c r="H552" s="840"/>
      <c r="I552" s="1092"/>
      <c r="J552" s="1085"/>
      <c r="K552" s="1085"/>
      <c r="L552" s="932"/>
      <c r="M552" s="932"/>
    </row>
    <row r="553" spans="1:13" s="106" customFormat="1" ht="15.75" hidden="1" customHeight="1" outlineLevel="1">
      <c r="A553" s="932"/>
      <c r="B553" s="1086">
        <v>181</v>
      </c>
      <c r="C553" s="1095"/>
      <c r="D553" s="1091"/>
      <c r="E553" s="1091" t="s">
        <v>20</v>
      </c>
      <c r="F553" s="1093" t="str">
        <f>VLOOKUP(E553,$N$13:$O$17,2,0)</f>
        <v>-</v>
      </c>
      <c r="G553" s="95"/>
      <c r="H553" s="839"/>
      <c r="I553" s="1091"/>
      <c r="J553" s="1083"/>
      <c r="K553" s="1083"/>
      <c r="L553" s="932"/>
      <c r="M553" s="932"/>
    </row>
    <row r="554" spans="1:13" s="106" customFormat="1" ht="15.75" hidden="1" customHeight="1" outlineLevel="1">
      <c r="A554" s="932"/>
      <c r="B554" s="1086"/>
      <c r="C554" s="1095"/>
      <c r="D554" s="1091"/>
      <c r="E554" s="1091"/>
      <c r="F554" s="1093"/>
      <c r="G554" s="98"/>
      <c r="H554" s="839"/>
      <c r="I554" s="1091"/>
      <c r="J554" s="1084"/>
      <c r="K554" s="1084"/>
      <c r="L554" s="932"/>
      <c r="M554" s="932"/>
    </row>
    <row r="555" spans="1:13" s="106" customFormat="1" ht="15.75" hidden="1" customHeight="1" outlineLevel="1">
      <c r="A555" s="932"/>
      <c r="B555" s="1087"/>
      <c r="C555" s="1096"/>
      <c r="D555" s="1092"/>
      <c r="E555" s="1092"/>
      <c r="F555" s="1094"/>
      <c r="G555" s="103"/>
      <c r="H555" s="840"/>
      <c r="I555" s="1092"/>
      <c r="J555" s="1085"/>
      <c r="K555" s="1085"/>
      <c r="L555" s="932"/>
      <c r="M555" s="932"/>
    </row>
    <row r="556" spans="1:13" s="106" customFormat="1" ht="15.75" hidden="1" customHeight="1" outlineLevel="1">
      <c r="A556" s="932"/>
      <c r="B556" s="1086">
        <v>182</v>
      </c>
      <c r="C556" s="1095"/>
      <c r="D556" s="1091"/>
      <c r="E556" s="1091" t="s">
        <v>20</v>
      </c>
      <c r="F556" s="1093" t="str">
        <f>VLOOKUP(E556,$N$13:$O$17,2,0)</f>
        <v>-</v>
      </c>
      <c r="G556" s="95"/>
      <c r="H556" s="839"/>
      <c r="I556" s="1091"/>
      <c r="J556" s="1083"/>
      <c r="K556" s="1083"/>
      <c r="L556" s="932"/>
      <c r="M556" s="932"/>
    </row>
    <row r="557" spans="1:13" s="106" customFormat="1" ht="15.75" hidden="1" customHeight="1" outlineLevel="1">
      <c r="A557" s="932"/>
      <c r="B557" s="1086"/>
      <c r="C557" s="1095"/>
      <c r="D557" s="1091"/>
      <c r="E557" s="1091"/>
      <c r="F557" s="1093"/>
      <c r="G557" s="98"/>
      <c r="H557" s="839"/>
      <c r="I557" s="1091"/>
      <c r="J557" s="1084"/>
      <c r="K557" s="1084"/>
      <c r="L557" s="932"/>
      <c r="M557" s="932"/>
    </row>
    <row r="558" spans="1:13" s="106" customFormat="1" ht="15.75" hidden="1" customHeight="1" outlineLevel="1">
      <c r="A558" s="932"/>
      <c r="B558" s="1087"/>
      <c r="C558" s="1096"/>
      <c r="D558" s="1092"/>
      <c r="E558" s="1092"/>
      <c r="F558" s="1094"/>
      <c r="G558" s="103"/>
      <c r="H558" s="840"/>
      <c r="I558" s="1092"/>
      <c r="J558" s="1085"/>
      <c r="K558" s="1085"/>
      <c r="L558" s="932"/>
      <c r="M558" s="932"/>
    </row>
    <row r="559" spans="1:13" s="106" customFormat="1" ht="15.75" hidden="1" customHeight="1" outlineLevel="1">
      <c r="A559" s="932"/>
      <c r="B559" s="1086">
        <v>183</v>
      </c>
      <c r="C559" s="1095"/>
      <c r="D559" s="1091"/>
      <c r="E559" s="1091" t="s">
        <v>20</v>
      </c>
      <c r="F559" s="1093" t="str">
        <f>VLOOKUP(E559,$N$13:$O$17,2,0)</f>
        <v>-</v>
      </c>
      <c r="G559" s="95"/>
      <c r="H559" s="839"/>
      <c r="I559" s="1091"/>
      <c r="J559" s="1083"/>
      <c r="K559" s="1083"/>
      <c r="L559" s="932"/>
      <c r="M559" s="932"/>
    </row>
    <row r="560" spans="1:13" s="106" customFormat="1" ht="15.75" hidden="1" customHeight="1" outlineLevel="1">
      <c r="A560" s="932"/>
      <c r="B560" s="1086"/>
      <c r="C560" s="1095"/>
      <c r="D560" s="1091"/>
      <c r="E560" s="1091"/>
      <c r="F560" s="1093"/>
      <c r="G560" s="98"/>
      <c r="H560" s="839"/>
      <c r="I560" s="1091"/>
      <c r="J560" s="1084"/>
      <c r="K560" s="1084"/>
      <c r="L560" s="932"/>
      <c r="M560" s="932"/>
    </row>
    <row r="561" spans="1:13" s="106" customFormat="1" ht="15.75" hidden="1" customHeight="1" outlineLevel="1">
      <c r="A561" s="932"/>
      <c r="B561" s="1087"/>
      <c r="C561" s="1096"/>
      <c r="D561" s="1092"/>
      <c r="E561" s="1092"/>
      <c r="F561" s="1094"/>
      <c r="G561" s="103"/>
      <c r="H561" s="840"/>
      <c r="I561" s="1092"/>
      <c r="J561" s="1085"/>
      <c r="K561" s="1085"/>
      <c r="L561" s="932"/>
      <c r="M561" s="932"/>
    </row>
    <row r="562" spans="1:13" s="106" customFormat="1" ht="15.75" hidden="1" customHeight="1" outlineLevel="1">
      <c r="A562" s="932"/>
      <c r="B562" s="1086">
        <v>184</v>
      </c>
      <c r="C562" s="1095"/>
      <c r="D562" s="1091"/>
      <c r="E562" s="1091" t="s">
        <v>20</v>
      </c>
      <c r="F562" s="1093" t="str">
        <f>VLOOKUP(E562,$N$13:$O$17,2,0)</f>
        <v>-</v>
      </c>
      <c r="G562" s="95"/>
      <c r="H562" s="839"/>
      <c r="I562" s="1091"/>
      <c r="J562" s="1083"/>
      <c r="K562" s="1083"/>
      <c r="L562" s="932"/>
      <c r="M562" s="932"/>
    </row>
    <row r="563" spans="1:13" s="106" customFormat="1" ht="15.75" hidden="1" customHeight="1" outlineLevel="1">
      <c r="A563" s="932"/>
      <c r="B563" s="1086"/>
      <c r="C563" s="1095"/>
      <c r="D563" s="1091"/>
      <c r="E563" s="1091"/>
      <c r="F563" s="1093"/>
      <c r="G563" s="98"/>
      <c r="H563" s="839"/>
      <c r="I563" s="1091"/>
      <c r="J563" s="1084"/>
      <c r="K563" s="1084"/>
      <c r="L563" s="932"/>
      <c r="M563" s="932"/>
    </row>
    <row r="564" spans="1:13" s="106" customFormat="1" ht="15.75" hidden="1" customHeight="1" outlineLevel="1">
      <c r="A564" s="932"/>
      <c r="B564" s="1087"/>
      <c r="C564" s="1096"/>
      <c r="D564" s="1092"/>
      <c r="E564" s="1092"/>
      <c r="F564" s="1094"/>
      <c r="G564" s="103"/>
      <c r="H564" s="840"/>
      <c r="I564" s="1092"/>
      <c r="J564" s="1085"/>
      <c r="K564" s="1085"/>
      <c r="L564" s="932"/>
      <c r="M564" s="932"/>
    </row>
    <row r="565" spans="1:13" s="106" customFormat="1" ht="15.75" hidden="1" customHeight="1" outlineLevel="1">
      <c r="A565" s="932"/>
      <c r="B565" s="1086">
        <v>185</v>
      </c>
      <c r="C565" s="1095"/>
      <c r="D565" s="1091"/>
      <c r="E565" s="1091" t="s">
        <v>20</v>
      </c>
      <c r="F565" s="1093" t="str">
        <f>VLOOKUP(E565,$N$13:$O$17,2,0)</f>
        <v>-</v>
      </c>
      <c r="G565" s="95"/>
      <c r="H565" s="839"/>
      <c r="I565" s="1091"/>
      <c r="J565" s="1083"/>
      <c r="K565" s="1083"/>
      <c r="L565" s="932"/>
      <c r="M565" s="932"/>
    </row>
    <row r="566" spans="1:13" s="106" customFormat="1" ht="15.75" hidden="1" customHeight="1" outlineLevel="1">
      <c r="A566" s="932"/>
      <c r="B566" s="1086"/>
      <c r="C566" s="1095"/>
      <c r="D566" s="1091"/>
      <c r="E566" s="1091"/>
      <c r="F566" s="1093"/>
      <c r="G566" s="98"/>
      <c r="H566" s="839"/>
      <c r="I566" s="1091"/>
      <c r="J566" s="1084"/>
      <c r="K566" s="1084"/>
      <c r="L566" s="932"/>
      <c r="M566" s="932"/>
    </row>
    <row r="567" spans="1:13" s="106" customFormat="1" ht="15.75" hidden="1" customHeight="1" outlineLevel="1">
      <c r="A567" s="932"/>
      <c r="B567" s="1087"/>
      <c r="C567" s="1096"/>
      <c r="D567" s="1092"/>
      <c r="E567" s="1092"/>
      <c r="F567" s="1094"/>
      <c r="G567" s="103"/>
      <c r="H567" s="840"/>
      <c r="I567" s="1092"/>
      <c r="J567" s="1085"/>
      <c r="K567" s="1085"/>
      <c r="L567" s="932"/>
      <c r="M567" s="932"/>
    </row>
    <row r="568" spans="1:13" s="106" customFormat="1" ht="15.75" hidden="1" customHeight="1" outlineLevel="1">
      <c r="A568" s="932"/>
      <c r="B568" s="1086">
        <v>186</v>
      </c>
      <c r="C568" s="1095"/>
      <c r="D568" s="1091"/>
      <c r="E568" s="1091" t="s">
        <v>20</v>
      </c>
      <c r="F568" s="1093" t="str">
        <f>VLOOKUP(E568,$N$13:$O$17,2,0)</f>
        <v>-</v>
      </c>
      <c r="G568" s="95"/>
      <c r="H568" s="839"/>
      <c r="I568" s="1091"/>
      <c r="J568" s="1083"/>
      <c r="K568" s="1083"/>
      <c r="L568" s="932"/>
      <c r="M568" s="932"/>
    </row>
    <row r="569" spans="1:13" s="106" customFormat="1" ht="15.75" hidden="1" customHeight="1" outlineLevel="1">
      <c r="A569" s="932"/>
      <c r="B569" s="1086"/>
      <c r="C569" s="1095"/>
      <c r="D569" s="1091"/>
      <c r="E569" s="1091"/>
      <c r="F569" s="1093"/>
      <c r="G569" s="98"/>
      <c r="H569" s="839"/>
      <c r="I569" s="1091"/>
      <c r="J569" s="1084"/>
      <c r="K569" s="1084"/>
      <c r="L569" s="932"/>
      <c r="M569" s="932"/>
    </row>
    <row r="570" spans="1:13" s="106" customFormat="1" ht="15.75" hidden="1" customHeight="1" outlineLevel="1">
      <c r="A570" s="932"/>
      <c r="B570" s="1087"/>
      <c r="C570" s="1096"/>
      <c r="D570" s="1092"/>
      <c r="E570" s="1092"/>
      <c r="F570" s="1094"/>
      <c r="G570" s="103"/>
      <c r="H570" s="840"/>
      <c r="I570" s="1092"/>
      <c r="J570" s="1085"/>
      <c r="K570" s="1085"/>
      <c r="L570" s="932"/>
      <c r="M570" s="932"/>
    </row>
    <row r="571" spans="1:13" s="106" customFormat="1" ht="15.75" hidden="1" customHeight="1" outlineLevel="1">
      <c r="A571" s="932"/>
      <c r="B571" s="1086">
        <v>187</v>
      </c>
      <c r="C571" s="1095"/>
      <c r="D571" s="1091"/>
      <c r="E571" s="1091" t="s">
        <v>20</v>
      </c>
      <c r="F571" s="1093" t="str">
        <f>VLOOKUP(E571,$N$13:$O$17,2,0)</f>
        <v>-</v>
      </c>
      <c r="G571" s="95"/>
      <c r="H571" s="839"/>
      <c r="I571" s="1091"/>
      <c r="J571" s="1083"/>
      <c r="K571" s="1083"/>
      <c r="L571" s="932"/>
      <c r="M571" s="932"/>
    </row>
    <row r="572" spans="1:13" s="106" customFormat="1" ht="15.75" hidden="1" customHeight="1" outlineLevel="1">
      <c r="A572" s="932"/>
      <c r="B572" s="1086"/>
      <c r="C572" s="1095"/>
      <c r="D572" s="1091"/>
      <c r="E572" s="1091"/>
      <c r="F572" s="1093"/>
      <c r="G572" s="98"/>
      <c r="H572" s="839"/>
      <c r="I572" s="1091"/>
      <c r="J572" s="1084"/>
      <c r="K572" s="1084"/>
      <c r="L572" s="932"/>
      <c r="M572" s="932"/>
    </row>
    <row r="573" spans="1:13" s="106" customFormat="1" ht="15.75" hidden="1" customHeight="1" outlineLevel="1">
      <c r="A573" s="932"/>
      <c r="B573" s="1087"/>
      <c r="C573" s="1096"/>
      <c r="D573" s="1092"/>
      <c r="E573" s="1092"/>
      <c r="F573" s="1094"/>
      <c r="G573" s="103"/>
      <c r="H573" s="840"/>
      <c r="I573" s="1092"/>
      <c r="J573" s="1085"/>
      <c r="K573" s="1085"/>
      <c r="L573" s="932"/>
      <c r="M573" s="932"/>
    </row>
    <row r="574" spans="1:13" s="106" customFormat="1" ht="15.75" hidden="1" customHeight="1" outlineLevel="1">
      <c r="A574" s="932"/>
      <c r="B574" s="1086">
        <v>188</v>
      </c>
      <c r="C574" s="1095"/>
      <c r="D574" s="1091"/>
      <c r="E574" s="1091" t="s">
        <v>20</v>
      </c>
      <c r="F574" s="1093" t="str">
        <f>VLOOKUP(E574,$N$13:$O$17,2,0)</f>
        <v>-</v>
      </c>
      <c r="G574" s="95"/>
      <c r="H574" s="839"/>
      <c r="I574" s="1091"/>
      <c r="J574" s="1083"/>
      <c r="K574" s="1083"/>
      <c r="L574" s="932"/>
      <c r="M574" s="932"/>
    </row>
    <row r="575" spans="1:13" s="106" customFormat="1" ht="15.75" hidden="1" customHeight="1" outlineLevel="1">
      <c r="A575" s="932"/>
      <c r="B575" s="1086"/>
      <c r="C575" s="1095"/>
      <c r="D575" s="1091"/>
      <c r="E575" s="1091"/>
      <c r="F575" s="1093"/>
      <c r="G575" s="98"/>
      <c r="H575" s="839"/>
      <c r="I575" s="1091"/>
      <c r="J575" s="1084"/>
      <c r="K575" s="1084"/>
      <c r="L575" s="932"/>
      <c r="M575" s="932"/>
    </row>
    <row r="576" spans="1:13" s="106" customFormat="1" ht="15.75" hidden="1" customHeight="1" outlineLevel="1">
      <c r="A576" s="932"/>
      <c r="B576" s="1087"/>
      <c r="C576" s="1096"/>
      <c r="D576" s="1092"/>
      <c r="E576" s="1092"/>
      <c r="F576" s="1094"/>
      <c r="G576" s="103"/>
      <c r="H576" s="840"/>
      <c r="I576" s="1092"/>
      <c r="J576" s="1085"/>
      <c r="K576" s="1085"/>
      <c r="L576" s="932"/>
      <c r="M576" s="932"/>
    </row>
    <row r="577" spans="1:13" s="106" customFormat="1" ht="15.75" hidden="1" customHeight="1" outlineLevel="1">
      <c r="A577" s="932"/>
      <c r="B577" s="1086">
        <v>189</v>
      </c>
      <c r="C577" s="1095"/>
      <c r="D577" s="1091"/>
      <c r="E577" s="1091" t="s">
        <v>20</v>
      </c>
      <c r="F577" s="1093" t="str">
        <f>VLOOKUP(E577,$N$13:$O$17,2,0)</f>
        <v>-</v>
      </c>
      <c r="G577" s="95"/>
      <c r="H577" s="839"/>
      <c r="I577" s="1091"/>
      <c r="J577" s="1083"/>
      <c r="K577" s="1083"/>
      <c r="L577" s="932"/>
      <c r="M577" s="932"/>
    </row>
    <row r="578" spans="1:13" s="106" customFormat="1" ht="15.75" hidden="1" customHeight="1" outlineLevel="1">
      <c r="A578" s="932"/>
      <c r="B578" s="1086"/>
      <c r="C578" s="1095"/>
      <c r="D578" s="1091"/>
      <c r="E578" s="1091"/>
      <c r="F578" s="1093"/>
      <c r="G578" s="98"/>
      <c r="H578" s="839"/>
      <c r="I578" s="1091"/>
      <c r="J578" s="1084"/>
      <c r="K578" s="1084"/>
      <c r="L578" s="932"/>
      <c r="M578" s="932"/>
    </row>
    <row r="579" spans="1:13" s="106" customFormat="1" ht="15.75" hidden="1" customHeight="1" outlineLevel="1">
      <c r="A579" s="932"/>
      <c r="B579" s="1087"/>
      <c r="C579" s="1096"/>
      <c r="D579" s="1092"/>
      <c r="E579" s="1092"/>
      <c r="F579" s="1094"/>
      <c r="G579" s="103"/>
      <c r="H579" s="840"/>
      <c r="I579" s="1092"/>
      <c r="J579" s="1085"/>
      <c r="K579" s="1085"/>
      <c r="L579" s="932"/>
      <c r="M579" s="932"/>
    </row>
    <row r="580" spans="1:13" s="106" customFormat="1" ht="15.75" hidden="1" customHeight="1" outlineLevel="1">
      <c r="A580" s="932"/>
      <c r="B580" s="1086">
        <v>190</v>
      </c>
      <c r="C580" s="1095"/>
      <c r="D580" s="1091"/>
      <c r="E580" s="1091" t="s">
        <v>20</v>
      </c>
      <c r="F580" s="1093" t="str">
        <f>VLOOKUP(E580,$N$13:$O$17,2,0)</f>
        <v>-</v>
      </c>
      <c r="G580" s="95"/>
      <c r="H580" s="839"/>
      <c r="I580" s="1091"/>
      <c r="J580" s="1083"/>
      <c r="K580" s="1083"/>
      <c r="L580" s="932"/>
      <c r="M580" s="932"/>
    </row>
    <row r="581" spans="1:13" s="106" customFormat="1" ht="15.75" hidden="1" customHeight="1" outlineLevel="1">
      <c r="A581" s="932"/>
      <c r="B581" s="1086"/>
      <c r="C581" s="1095"/>
      <c r="D581" s="1091"/>
      <c r="E581" s="1091"/>
      <c r="F581" s="1093"/>
      <c r="G581" s="98"/>
      <c r="H581" s="839"/>
      <c r="I581" s="1091"/>
      <c r="J581" s="1084"/>
      <c r="K581" s="1084"/>
      <c r="L581" s="932"/>
      <c r="M581" s="932"/>
    </row>
    <row r="582" spans="1:13" s="106" customFormat="1" ht="15.75" hidden="1" customHeight="1" outlineLevel="1">
      <c r="A582" s="932"/>
      <c r="B582" s="1087"/>
      <c r="C582" s="1096"/>
      <c r="D582" s="1092"/>
      <c r="E582" s="1092"/>
      <c r="F582" s="1094"/>
      <c r="G582" s="103"/>
      <c r="H582" s="840"/>
      <c r="I582" s="1092"/>
      <c r="J582" s="1085"/>
      <c r="K582" s="1085"/>
      <c r="L582" s="932"/>
      <c r="M582" s="932"/>
    </row>
    <row r="583" spans="1:13" s="106" customFormat="1" ht="15.75" hidden="1" customHeight="1" outlineLevel="1">
      <c r="A583" s="932"/>
      <c r="B583" s="1086">
        <v>191</v>
      </c>
      <c r="C583" s="1095"/>
      <c r="D583" s="1091"/>
      <c r="E583" s="1091" t="s">
        <v>20</v>
      </c>
      <c r="F583" s="1093" t="str">
        <f>VLOOKUP(E583,$N$13:$O$17,2,0)</f>
        <v>-</v>
      </c>
      <c r="G583" s="95"/>
      <c r="H583" s="839"/>
      <c r="I583" s="1091"/>
      <c r="J583" s="1083"/>
      <c r="K583" s="1083"/>
      <c r="L583" s="932"/>
      <c r="M583" s="932"/>
    </row>
    <row r="584" spans="1:13" s="106" customFormat="1" ht="15.75" hidden="1" customHeight="1" outlineLevel="1">
      <c r="A584" s="932"/>
      <c r="B584" s="1086"/>
      <c r="C584" s="1095"/>
      <c r="D584" s="1091"/>
      <c r="E584" s="1091"/>
      <c r="F584" s="1093"/>
      <c r="G584" s="98"/>
      <c r="H584" s="839"/>
      <c r="I584" s="1091"/>
      <c r="J584" s="1084"/>
      <c r="K584" s="1084"/>
      <c r="L584" s="932"/>
      <c r="M584" s="932"/>
    </row>
    <row r="585" spans="1:13" s="106" customFormat="1" ht="15.75" hidden="1" customHeight="1" outlineLevel="1">
      <c r="A585" s="932"/>
      <c r="B585" s="1087"/>
      <c r="C585" s="1096"/>
      <c r="D585" s="1092"/>
      <c r="E585" s="1092"/>
      <c r="F585" s="1094"/>
      <c r="G585" s="103"/>
      <c r="H585" s="840"/>
      <c r="I585" s="1092"/>
      <c r="J585" s="1085"/>
      <c r="K585" s="1085"/>
      <c r="L585" s="932"/>
      <c r="M585" s="932"/>
    </row>
    <row r="586" spans="1:13" s="106" customFormat="1" ht="15.75" hidden="1" customHeight="1" outlineLevel="1">
      <c r="A586" s="932"/>
      <c r="B586" s="1086">
        <v>192</v>
      </c>
      <c r="C586" s="1095"/>
      <c r="D586" s="1091"/>
      <c r="E586" s="1091" t="s">
        <v>20</v>
      </c>
      <c r="F586" s="1093" t="str">
        <f>VLOOKUP(E586,$N$13:$O$17,2,0)</f>
        <v>-</v>
      </c>
      <c r="G586" s="95"/>
      <c r="H586" s="839"/>
      <c r="I586" s="1091"/>
      <c r="J586" s="1083"/>
      <c r="K586" s="1083"/>
      <c r="L586" s="932"/>
      <c r="M586" s="932"/>
    </row>
    <row r="587" spans="1:13" s="106" customFormat="1" ht="15.75" hidden="1" customHeight="1" outlineLevel="1">
      <c r="A587" s="932"/>
      <c r="B587" s="1086"/>
      <c r="C587" s="1095"/>
      <c r="D587" s="1091"/>
      <c r="E587" s="1091"/>
      <c r="F587" s="1093"/>
      <c r="G587" s="98"/>
      <c r="H587" s="839"/>
      <c r="I587" s="1091"/>
      <c r="J587" s="1084"/>
      <c r="K587" s="1084"/>
      <c r="L587" s="932"/>
      <c r="M587" s="932"/>
    </row>
    <row r="588" spans="1:13" s="106" customFormat="1" ht="15.75" hidden="1" customHeight="1" outlineLevel="1">
      <c r="A588" s="932"/>
      <c r="B588" s="1087"/>
      <c r="C588" s="1096"/>
      <c r="D588" s="1092"/>
      <c r="E588" s="1092"/>
      <c r="F588" s="1094"/>
      <c r="G588" s="103"/>
      <c r="H588" s="840"/>
      <c r="I588" s="1092"/>
      <c r="J588" s="1085"/>
      <c r="K588" s="1085"/>
      <c r="L588" s="932"/>
      <c r="M588" s="932"/>
    </row>
    <row r="589" spans="1:13" s="106" customFormat="1" ht="15.75" hidden="1" customHeight="1" outlineLevel="1">
      <c r="A589" s="932"/>
      <c r="B589" s="1086">
        <v>193</v>
      </c>
      <c r="C589" s="1095"/>
      <c r="D589" s="1091"/>
      <c r="E589" s="1091" t="s">
        <v>20</v>
      </c>
      <c r="F589" s="1093" t="str">
        <f>VLOOKUP(E589,$N$13:$O$17,2,0)</f>
        <v>-</v>
      </c>
      <c r="G589" s="95"/>
      <c r="H589" s="839"/>
      <c r="I589" s="1091"/>
      <c r="J589" s="1083"/>
      <c r="K589" s="1083"/>
      <c r="L589" s="932"/>
      <c r="M589" s="932"/>
    </row>
    <row r="590" spans="1:13" s="106" customFormat="1" ht="15.75" hidden="1" customHeight="1" outlineLevel="1">
      <c r="A590" s="932"/>
      <c r="B590" s="1086"/>
      <c r="C590" s="1095"/>
      <c r="D590" s="1091"/>
      <c r="E590" s="1091"/>
      <c r="F590" s="1093"/>
      <c r="G590" s="98"/>
      <c r="H590" s="839"/>
      <c r="I590" s="1091"/>
      <c r="J590" s="1084"/>
      <c r="K590" s="1084"/>
      <c r="L590" s="932"/>
      <c r="M590" s="932"/>
    </row>
    <row r="591" spans="1:13" s="106" customFormat="1" ht="15.75" hidden="1" customHeight="1" outlineLevel="1">
      <c r="A591" s="932"/>
      <c r="B591" s="1087"/>
      <c r="C591" s="1096"/>
      <c r="D591" s="1092"/>
      <c r="E591" s="1092"/>
      <c r="F591" s="1094"/>
      <c r="G591" s="103"/>
      <c r="H591" s="840"/>
      <c r="I591" s="1092"/>
      <c r="J591" s="1085"/>
      <c r="K591" s="1085"/>
      <c r="L591" s="932"/>
      <c r="M591" s="932"/>
    </row>
    <row r="592" spans="1:13" s="106" customFormat="1" ht="15.75" hidden="1" customHeight="1" outlineLevel="1">
      <c r="A592" s="932"/>
      <c r="B592" s="1086">
        <v>194</v>
      </c>
      <c r="C592" s="1095"/>
      <c r="D592" s="1091"/>
      <c r="E592" s="1091" t="s">
        <v>20</v>
      </c>
      <c r="F592" s="1093" t="str">
        <f>VLOOKUP(E592,$N$13:$O$17,2,0)</f>
        <v>-</v>
      </c>
      <c r="G592" s="95"/>
      <c r="H592" s="839"/>
      <c r="I592" s="1091"/>
      <c r="J592" s="1083"/>
      <c r="K592" s="1083"/>
      <c r="L592" s="932"/>
      <c r="M592" s="932"/>
    </row>
    <row r="593" spans="1:13" s="106" customFormat="1" ht="15.75" hidden="1" customHeight="1" outlineLevel="1">
      <c r="A593" s="932"/>
      <c r="B593" s="1086"/>
      <c r="C593" s="1095"/>
      <c r="D593" s="1091"/>
      <c r="E593" s="1091"/>
      <c r="F593" s="1093"/>
      <c r="G593" s="98"/>
      <c r="H593" s="839"/>
      <c r="I593" s="1091"/>
      <c r="J593" s="1084"/>
      <c r="K593" s="1084"/>
      <c r="L593" s="932"/>
      <c r="M593" s="932"/>
    </row>
    <row r="594" spans="1:13" s="106" customFormat="1" ht="15.75" hidden="1" customHeight="1" outlineLevel="1">
      <c r="A594" s="932"/>
      <c r="B594" s="1087"/>
      <c r="C594" s="1096"/>
      <c r="D594" s="1092"/>
      <c r="E594" s="1092"/>
      <c r="F594" s="1094"/>
      <c r="G594" s="103"/>
      <c r="H594" s="840"/>
      <c r="I594" s="1092"/>
      <c r="J594" s="1085"/>
      <c r="K594" s="1085"/>
      <c r="L594" s="932"/>
      <c r="M594" s="932"/>
    </row>
    <row r="595" spans="1:13" s="106" customFormat="1" ht="15.75" hidden="1" customHeight="1" outlineLevel="1">
      <c r="A595" s="932"/>
      <c r="B595" s="1086">
        <v>195</v>
      </c>
      <c r="C595" s="1095"/>
      <c r="D595" s="1091"/>
      <c r="E595" s="1091" t="s">
        <v>20</v>
      </c>
      <c r="F595" s="1093" t="str">
        <f>VLOOKUP(E595,$N$13:$O$17,2,0)</f>
        <v>-</v>
      </c>
      <c r="G595" s="95"/>
      <c r="H595" s="839"/>
      <c r="I595" s="1091"/>
      <c r="J595" s="1083"/>
      <c r="K595" s="1083"/>
      <c r="L595" s="932"/>
      <c r="M595" s="932"/>
    </row>
    <row r="596" spans="1:13" s="106" customFormat="1" ht="15.75" hidden="1" customHeight="1" outlineLevel="1">
      <c r="A596" s="932"/>
      <c r="B596" s="1086"/>
      <c r="C596" s="1095"/>
      <c r="D596" s="1091"/>
      <c r="E596" s="1091"/>
      <c r="F596" s="1093"/>
      <c r="G596" s="98"/>
      <c r="H596" s="839"/>
      <c r="I596" s="1091"/>
      <c r="J596" s="1084"/>
      <c r="K596" s="1084"/>
      <c r="L596" s="932"/>
      <c r="M596" s="932"/>
    </row>
    <row r="597" spans="1:13" s="106" customFormat="1" ht="15.75" hidden="1" customHeight="1" outlineLevel="1">
      <c r="A597" s="932"/>
      <c r="B597" s="1087"/>
      <c r="C597" s="1096"/>
      <c r="D597" s="1092"/>
      <c r="E597" s="1092"/>
      <c r="F597" s="1094"/>
      <c r="G597" s="103"/>
      <c r="H597" s="840"/>
      <c r="I597" s="1092"/>
      <c r="J597" s="1085"/>
      <c r="K597" s="1085"/>
      <c r="L597" s="932"/>
      <c r="M597" s="932"/>
    </row>
    <row r="598" spans="1:13" s="106" customFormat="1" ht="15.75" hidden="1" customHeight="1" outlineLevel="1">
      <c r="A598" s="932"/>
      <c r="B598" s="1086">
        <v>196</v>
      </c>
      <c r="C598" s="1095"/>
      <c r="D598" s="1091"/>
      <c r="E598" s="1091" t="s">
        <v>20</v>
      </c>
      <c r="F598" s="1093" t="str">
        <f>VLOOKUP(E598,$N$13:$O$17,2,0)</f>
        <v>-</v>
      </c>
      <c r="G598" s="95"/>
      <c r="H598" s="839"/>
      <c r="I598" s="1091"/>
      <c r="J598" s="1083"/>
      <c r="K598" s="1083"/>
      <c r="L598" s="932"/>
      <c r="M598" s="932"/>
    </row>
    <row r="599" spans="1:13" s="106" customFormat="1" ht="15.75" hidden="1" customHeight="1" outlineLevel="1">
      <c r="A599" s="932"/>
      <c r="B599" s="1086"/>
      <c r="C599" s="1095"/>
      <c r="D599" s="1091"/>
      <c r="E599" s="1091"/>
      <c r="F599" s="1093"/>
      <c r="G599" s="98"/>
      <c r="H599" s="839"/>
      <c r="I599" s="1091"/>
      <c r="J599" s="1084"/>
      <c r="K599" s="1084"/>
      <c r="L599" s="932"/>
      <c r="M599" s="932"/>
    </row>
    <row r="600" spans="1:13" s="106" customFormat="1" ht="15.75" hidden="1" customHeight="1" outlineLevel="1">
      <c r="A600" s="932"/>
      <c r="B600" s="1087"/>
      <c r="C600" s="1096"/>
      <c r="D600" s="1092"/>
      <c r="E600" s="1092"/>
      <c r="F600" s="1094"/>
      <c r="G600" s="103"/>
      <c r="H600" s="840"/>
      <c r="I600" s="1092"/>
      <c r="J600" s="1085"/>
      <c r="K600" s="1085"/>
      <c r="L600" s="932"/>
      <c r="M600" s="932"/>
    </row>
    <row r="601" spans="1:13" s="106" customFormat="1" ht="15.75" hidden="1" customHeight="1" outlineLevel="1">
      <c r="A601" s="932"/>
      <c r="B601" s="1086">
        <v>197</v>
      </c>
      <c r="C601" s="1095"/>
      <c r="D601" s="1091"/>
      <c r="E601" s="1091" t="s">
        <v>20</v>
      </c>
      <c r="F601" s="1093" t="str">
        <f>VLOOKUP(E601,$N$13:$O$17,2,0)</f>
        <v>-</v>
      </c>
      <c r="G601" s="95"/>
      <c r="H601" s="839"/>
      <c r="I601" s="1091"/>
      <c r="J601" s="1083"/>
      <c r="K601" s="1083"/>
      <c r="L601" s="932"/>
      <c r="M601" s="932"/>
    </row>
    <row r="602" spans="1:13" s="106" customFormat="1" ht="15.75" hidden="1" customHeight="1" outlineLevel="1">
      <c r="A602" s="932"/>
      <c r="B602" s="1086"/>
      <c r="C602" s="1095"/>
      <c r="D602" s="1091"/>
      <c r="E602" s="1091"/>
      <c r="F602" s="1093"/>
      <c r="G602" s="98"/>
      <c r="H602" s="839"/>
      <c r="I602" s="1091"/>
      <c r="J602" s="1084"/>
      <c r="K602" s="1084"/>
      <c r="L602" s="932"/>
      <c r="M602" s="932"/>
    </row>
    <row r="603" spans="1:13" s="106" customFormat="1" ht="15.75" hidden="1" customHeight="1" outlineLevel="1">
      <c r="A603" s="932"/>
      <c r="B603" s="1087"/>
      <c r="C603" s="1096"/>
      <c r="D603" s="1092"/>
      <c r="E603" s="1092"/>
      <c r="F603" s="1094"/>
      <c r="G603" s="103"/>
      <c r="H603" s="840"/>
      <c r="I603" s="1092"/>
      <c r="J603" s="1085"/>
      <c r="K603" s="1085"/>
      <c r="L603" s="932"/>
      <c r="M603" s="932"/>
    </row>
    <row r="604" spans="1:13" s="106" customFormat="1" ht="15.75" hidden="1" customHeight="1" outlineLevel="1">
      <c r="A604" s="932"/>
      <c r="B604" s="1086">
        <v>198</v>
      </c>
      <c r="C604" s="1095"/>
      <c r="D604" s="1091"/>
      <c r="E604" s="1091" t="s">
        <v>20</v>
      </c>
      <c r="F604" s="1093" t="str">
        <f>VLOOKUP(E604,$N$13:$O$17,2,0)</f>
        <v>-</v>
      </c>
      <c r="G604" s="95"/>
      <c r="H604" s="839"/>
      <c r="I604" s="1091"/>
      <c r="J604" s="1083"/>
      <c r="K604" s="1083"/>
      <c r="L604" s="932"/>
      <c r="M604" s="932"/>
    </row>
    <row r="605" spans="1:13" s="106" customFormat="1" ht="15.75" hidden="1" customHeight="1" outlineLevel="1">
      <c r="A605" s="932"/>
      <c r="B605" s="1086"/>
      <c r="C605" s="1095"/>
      <c r="D605" s="1091"/>
      <c r="E605" s="1091"/>
      <c r="F605" s="1093"/>
      <c r="G605" s="98"/>
      <c r="H605" s="839"/>
      <c r="I605" s="1091"/>
      <c r="J605" s="1084"/>
      <c r="K605" s="1084"/>
      <c r="L605" s="932"/>
      <c r="M605" s="932"/>
    </row>
    <row r="606" spans="1:13" s="106" customFormat="1" ht="15.75" hidden="1" customHeight="1" outlineLevel="1">
      <c r="A606" s="932"/>
      <c r="B606" s="1087"/>
      <c r="C606" s="1096"/>
      <c r="D606" s="1092"/>
      <c r="E606" s="1092"/>
      <c r="F606" s="1094"/>
      <c r="G606" s="103"/>
      <c r="H606" s="840"/>
      <c r="I606" s="1092"/>
      <c r="J606" s="1085"/>
      <c r="K606" s="1085"/>
      <c r="L606" s="932"/>
      <c r="M606" s="932"/>
    </row>
    <row r="607" spans="1:13" s="106" customFormat="1" ht="15.75" hidden="1" customHeight="1" outlineLevel="1">
      <c r="A607" s="932"/>
      <c r="B607" s="1086">
        <v>199</v>
      </c>
      <c r="C607" s="1095"/>
      <c r="D607" s="1091"/>
      <c r="E607" s="1091" t="s">
        <v>20</v>
      </c>
      <c r="F607" s="1093" t="str">
        <f>VLOOKUP(E607,$N$13:$O$17,2,0)</f>
        <v>-</v>
      </c>
      <c r="G607" s="95"/>
      <c r="H607" s="839"/>
      <c r="I607" s="1091"/>
      <c r="J607" s="1083"/>
      <c r="K607" s="1083"/>
      <c r="L607" s="932"/>
      <c r="M607" s="932"/>
    </row>
    <row r="608" spans="1:13" s="106" customFormat="1" ht="15.75" hidden="1" customHeight="1" outlineLevel="1">
      <c r="A608" s="932"/>
      <c r="B608" s="1086"/>
      <c r="C608" s="1095"/>
      <c r="D608" s="1091"/>
      <c r="E608" s="1091"/>
      <c r="F608" s="1093"/>
      <c r="G608" s="98"/>
      <c r="H608" s="839"/>
      <c r="I608" s="1091"/>
      <c r="J608" s="1084"/>
      <c r="K608" s="1084"/>
      <c r="L608" s="932"/>
      <c r="M608" s="932"/>
    </row>
    <row r="609" spans="1:13" s="106" customFormat="1" ht="15.75" hidden="1" customHeight="1" outlineLevel="1">
      <c r="A609" s="932"/>
      <c r="B609" s="1087"/>
      <c r="C609" s="1096"/>
      <c r="D609" s="1092"/>
      <c r="E609" s="1092"/>
      <c r="F609" s="1094"/>
      <c r="G609" s="103"/>
      <c r="H609" s="840"/>
      <c r="I609" s="1092"/>
      <c r="J609" s="1085"/>
      <c r="K609" s="1085"/>
      <c r="L609" s="932"/>
      <c r="M609" s="932"/>
    </row>
    <row r="610" spans="1:13"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c r="M610" s="932"/>
    </row>
    <row r="611" spans="1:13" s="106" customFormat="1" ht="15.75" hidden="1" customHeight="1" outlineLevel="1">
      <c r="A611" s="932"/>
      <c r="B611" s="1086"/>
      <c r="C611" s="1089"/>
      <c r="D611" s="1091"/>
      <c r="E611" s="1091"/>
      <c r="F611" s="1093"/>
      <c r="G611" s="98"/>
      <c r="H611" s="839"/>
      <c r="I611" s="1091"/>
      <c r="J611" s="1084"/>
      <c r="K611" s="1084"/>
      <c r="L611" s="932"/>
      <c r="M611" s="932"/>
    </row>
    <row r="612" spans="1:13" s="106" customFormat="1" ht="15.75" hidden="1" customHeight="1" outlineLevel="1" thickBot="1">
      <c r="A612" s="932"/>
      <c r="B612" s="1087"/>
      <c r="C612" s="1090"/>
      <c r="D612" s="1092"/>
      <c r="E612" s="1092"/>
      <c r="F612" s="1094"/>
      <c r="G612" s="103"/>
      <c r="H612" s="840"/>
      <c r="I612" s="1092"/>
      <c r="J612" s="1085"/>
      <c r="K612" s="1085"/>
      <c r="L612" s="932"/>
      <c r="M612" s="932"/>
    </row>
    <row r="613" spans="1:13" s="106" customFormat="1" ht="15.6"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097"/>
      <c r="G621" s="1098"/>
      <c r="H621" s="1098"/>
      <c r="I621" s="1098"/>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32 E34:E612" xr:uid="{00000000-0002-0000-0C00-000000000000}">
      <formula1>$N$13:$N$17</formula1>
    </dataValidation>
  </dataValidations>
  <hyperlinks>
    <hyperlink ref="C1" location="Spis!B37" display="&gt;&gt; powrót do spisu treści" xr:uid="{00000000-0004-0000-0C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5" width="15.816406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255</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94"/>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str">
        <f>VLOOKUP(E58,$N$13:$O$17,2,0)</f>
        <v>-</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93"/>
      <c r="I142" s="1091"/>
      <c r="J142" s="1083"/>
      <c r="K142" s="1083"/>
      <c r="L142" s="932"/>
    </row>
    <row r="143" spans="1:12" s="106" customFormat="1" ht="15.75" hidden="1" customHeight="1" outlineLevel="1">
      <c r="A143" s="932"/>
      <c r="B143" s="1086"/>
      <c r="C143" s="1095"/>
      <c r="D143" s="1091"/>
      <c r="E143" s="1091"/>
      <c r="F143" s="1093"/>
      <c r="G143" s="98"/>
      <c r="H143" s="93"/>
      <c r="I143" s="1091"/>
      <c r="J143" s="1084"/>
      <c r="K143" s="1084"/>
      <c r="L143" s="932"/>
    </row>
    <row r="144" spans="1:12" s="106" customFormat="1" ht="15.75" hidden="1" customHeight="1" outlineLevel="1">
      <c r="A144" s="932"/>
      <c r="B144" s="1087"/>
      <c r="C144" s="1096"/>
      <c r="D144" s="1092"/>
      <c r="E144" s="1092"/>
      <c r="F144" s="1094"/>
      <c r="G144" s="103"/>
      <c r="H144" s="101"/>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93"/>
      <c r="I145" s="1091"/>
      <c r="J145" s="1083"/>
      <c r="K145" s="1083"/>
      <c r="L145" s="932"/>
    </row>
    <row r="146" spans="1:12" s="106" customFormat="1" ht="15.75" hidden="1" customHeight="1" outlineLevel="1">
      <c r="A146" s="932"/>
      <c r="B146" s="1086"/>
      <c r="C146" s="1095"/>
      <c r="D146" s="1091"/>
      <c r="E146" s="1091"/>
      <c r="F146" s="1093"/>
      <c r="G146" s="98"/>
      <c r="H146" s="93"/>
      <c r="I146" s="1091"/>
      <c r="J146" s="1084"/>
      <c r="K146" s="1084"/>
      <c r="L146" s="932"/>
    </row>
    <row r="147" spans="1:12" s="106" customFormat="1" ht="15.75" hidden="1" customHeight="1" outlineLevel="1">
      <c r="A147" s="932"/>
      <c r="B147" s="1087"/>
      <c r="C147" s="1096"/>
      <c r="D147" s="1092"/>
      <c r="E147" s="1092"/>
      <c r="F147" s="1094"/>
      <c r="G147" s="103"/>
      <c r="H147" s="101"/>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93"/>
      <c r="I148" s="1091"/>
      <c r="J148" s="1083"/>
      <c r="K148" s="1083"/>
      <c r="L148" s="932"/>
    </row>
    <row r="149" spans="1:12" s="106" customFormat="1" ht="15.75" hidden="1" customHeight="1" outlineLevel="1">
      <c r="A149" s="932"/>
      <c r="B149" s="1086"/>
      <c r="C149" s="1095"/>
      <c r="D149" s="1091"/>
      <c r="E149" s="1091"/>
      <c r="F149" s="1093"/>
      <c r="G149" s="98"/>
      <c r="H149" s="93"/>
      <c r="I149" s="1091"/>
      <c r="J149" s="1084"/>
      <c r="K149" s="1084"/>
      <c r="L149" s="932"/>
    </row>
    <row r="150" spans="1:12" s="106" customFormat="1" ht="15.75" hidden="1" customHeight="1" outlineLevel="1">
      <c r="A150" s="932"/>
      <c r="B150" s="1087"/>
      <c r="C150" s="1096"/>
      <c r="D150" s="1092"/>
      <c r="E150" s="1092"/>
      <c r="F150" s="1094"/>
      <c r="G150" s="103"/>
      <c r="H150" s="101"/>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93"/>
      <c r="I151" s="1091"/>
      <c r="J151" s="1083"/>
      <c r="K151" s="1083"/>
      <c r="L151" s="932"/>
    </row>
    <row r="152" spans="1:12" s="106" customFormat="1" ht="15.75" hidden="1" customHeight="1" outlineLevel="1">
      <c r="A152" s="932"/>
      <c r="B152" s="1086"/>
      <c r="C152" s="1095"/>
      <c r="D152" s="1091"/>
      <c r="E152" s="1091"/>
      <c r="F152" s="1093"/>
      <c r="G152" s="98"/>
      <c r="H152" s="93"/>
      <c r="I152" s="1091"/>
      <c r="J152" s="1084"/>
      <c r="K152" s="1084"/>
      <c r="L152" s="932"/>
    </row>
    <row r="153" spans="1:12" s="106" customFormat="1" ht="15.75" hidden="1" customHeight="1" outlineLevel="1">
      <c r="A153" s="932"/>
      <c r="B153" s="1087"/>
      <c r="C153" s="1096"/>
      <c r="D153" s="1092"/>
      <c r="E153" s="1092"/>
      <c r="F153" s="1094"/>
      <c r="G153" s="103"/>
      <c r="H153" s="101"/>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93"/>
      <c r="I154" s="1091"/>
      <c r="J154" s="1083"/>
      <c r="K154" s="1083"/>
      <c r="L154" s="932"/>
    </row>
    <row r="155" spans="1:12" s="106" customFormat="1" ht="15.75" hidden="1" customHeight="1" outlineLevel="1">
      <c r="A155" s="932"/>
      <c r="B155" s="1086"/>
      <c r="C155" s="1095"/>
      <c r="D155" s="1091"/>
      <c r="E155" s="1091"/>
      <c r="F155" s="1093"/>
      <c r="G155" s="98"/>
      <c r="H155" s="93"/>
      <c r="I155" s="1091"/>
      <c r="J155" s="1084"/>
      <c r="K155" s="1084"/>
      <c r="L155" s="932"/>
    </row>
    <row r="156" spans="1:12" s="106" customFormat="1" ht="15.75" hidden="1" customHeight="1" outlineLevel="1">
      <c r="A156" s="932"/>
      <c r="B156" s="1087"/>
      <c r="C156" s="1096"/>
      <c r="D156" s="1092"/>
      <c r="E156" s="1092"/>
      <c r="F156" s="1094"/>
      <c r="G156" s="103"/>
      <c r="H156" s="101"/>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93"/>
      <c r="I157" s="1091"/>
      <c r="J157" s="1083"/>
      <c r="K157" s="1083"/>
      <c r="L157" s="932"/>
    </row>
    <row r="158" spans="1:12" s="106" customFormat="1" ht="15.75" hidden="1" customHeight="1" outlineLevel="1">
      <c r="A158" s="932"/>
      <c r="B158" s="1086"/>
      <c r="C158" s="1095"/>
      <c r="D158" s="1091"/>
      <c r="E158" s="1091"/>
      <c r="F158" s="1093"/>
      <c r="G158" s="98"/>
      <c r="H158" s="93"/>
      <c r="I158" s="1091"/>
      <c r="J158" s="1084"/>
      <c r="K158" s="1084"/>
      <c r="L158" s="932"/>
    </row>
    <row r="159" spans="1:12" s="106" customFormat="1" ht="15.75" hidden="1" customHeight="1" outlineLevel="1">
      <c r="A159" s="932"/>
      <c r="B159" s="1087"/>
      <c r="C159" s="1096"/>
      <c r="D159" s="1092"/>
      <c r="E159" s="1092"/>
      <c r="F159" s="1094"/>
      <c r="G159" s="103"/>
      <c r="H159" s="101"/>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93"/>
      <c r="I160" s="1091"/>
      <c r="J160" s="1083"/>
      <c r="K160" s="1083"/>
      <c r="L160" s="932"/>
    </row>
    <row r="161" spans="1:12" s="106" customFormat="1" ht="15.75" hidden="1" customHeight="1" outlineLevel="1">
      <c r="A161" s="932"/>
      <c r="B161" s="1086"/>
      <c r="C161" s="1095"/>
      <c r="D161" s="1091"/>
      <c r="E161" s="1091"/>
      <c r="F161" s="1093"/>
      <c r="G161" s="98"/>
      <c r="H161" s="93"/>
      <c r="I161" s="1091"/>
      <c r="J161" s="1084"/>
      <c r="K161" s="1084"/>
      <c r="L161" s="932"/>
    </row>
    <row r="162" spans="1:12" s="106" customFormat="1" ht="15.75" hidden="1" customHeight="1" outlineLevel="1">
      <c r="A162" s="932"/>
      <c r="B162" s="1087"/>
      <c r="C162" s="1096"/>
      <c r="D162" s="1092"/>
      <c r="E162" s="1092"/>
      <c r="F162" s="1094"/>
      <c r="G162" s="103"/>
      <c r="H162" s="101"/>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93"/>
      <c r="I163" s="1091"/>
      <c r="J163" s="1083"/>
      <c r="K163" s="1083"/>
      <c r="L163" s="932"/>
    </row>
    <row r="164" spans="1:12" s="106" customFormat="1" ht="15.75" hidden="1" customHeight="1" outlineLevel="1">
      <c r="A164" s="932"/>
      <c r="B164" s="1086"/>
      <c r="C164" s="1095"/>
      <c r="D164" s="1091"/>
      <c r="E164" s="1091"/>
      <c r="F164" s="1093"/>
      <c r="G164" s="98"/>
      <c r="H164" s="93"/>
      <c r="I164" s="1091"/>
      <c r="J164" s="1084"/>
      <c r="K164" s="1084"/>
      <c r="L164" s="932"/>
    </row>
    <row r="165" spans="1:12" s="106" customFormat="1" ht="15.75" hidden="1" customHeight="1" outlineLevel="1">
      <c r="A165" s="932"/>
      <c r="B165" s="1087"/>
      <c r="C165" s="1096"/>
      <c r="D165" s="1092"/>
      <c r="E165" s="1092"/>
      <c r="F165" s="1094"/>
      <c r="G165" s="103"/>
      <c r="H165" s="101"/>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93"/>
      <c r="I166" s="1091"/>
      <c r="J166" s="1083"/>
      <c r="K166" s="1083"/>
      <c r="L166" s="932"/>
    </row>
    <row r="167" spans="1:12" s="106" customFormat="1" ht="15.75" hidden="1" customHeight="1" outlineLevel="1">
      <c r="A167" s="932"/>
      <c r="B167" s="1086"/>
      <c r="C167" s="1095"/>
      <c r="D167" s="1091"/>
      <c r="E167" s="1091"/>
      <c r="F167" s="1093"/>
      <c r="G167" s="98"/>
      <c r="H167" s="93"/>
      <c r="I167" s="1091"/>
      <c r="J167" s="1084"/>
      <c r="K167" s="1084"/>
      <c r="L167" s="932"/>
    </row>
    <row r="168" spans="1:12" s="106" customFormat="1" ht="15.75" hidden="1" customHeight="1" outlineLevel="1">
      <c r="A168" s="932"/>
      <c r="B168" s="1087"/>
      <c r="C168" s="1096"/>
      <c r="D168" s="1092"/>
      <c r="E168" s="1092"/>
      <c r="F168" s="1094"/>
      <c r="G168" s="103"/>
      <c r="H168" s="101"/>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93"/>
      <c r="I169" s="1091"/>
      <c r="J169" s="1083"/>
      <c r="K169" s="1083"/>
      <c r="L169" s="932"/>
    </row>
    <row r="170" spans="1:12" s="106" customFormat="1" ht="15.75" hidden="1" customHeight="1" outlineLevel="1">
      <c r="A170" s="932"/>
      <c r="B170" s="1086"/>
      <c r="C170" s="1095"/>
      <c r="D170" s="1091"/>
      <c r="E170" s="1091"/>
      <c r="F170" s="1093"/>
      <c r="G170" s="98"/>
      <c r="H170" s="93"/>
      <c r="I170" s="1091"/>
      <c r="J170" s="1084"/>
      <c r="K170" s="1084"/>
      <c r="L170" s="932"/>
    </row>
    <row r="171" spans="1:12" s="106" customFormat="1" ht="15.75" hidden="1" customHeight="1" outlineLevel="1">
      <c r="A171" s="932"/>
      <c r="B171" s="1087"/>
      <c r="C171" s="1096"/>
      <c r="D171" s="1092"/>
      <c r="E171" s="1092"/>
      <c r="F171" s="1094"/>
      <c r="G171" s="103"/>
      <c r="H171" s="101"/>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93"/>
      <c r="I172" s="1091"/>
      <c r="J172" s="1083"/>
      <c r="K172" s="1083"/>
      <c r="L172" s="932"/>
    </row>
    <row r="173" spans="1:12" s="106" customFormat="1" ht="15.75" hidden="1" customHeight="1" outlineLevel="1">
      <c r="A173" s="932"/>
      <c r="B173" s="1086"/>
      <c r="C173" s="1095"/>
      <c r="D173" s="1091"/>
      <c r="E173" s="1091"/>
      <c r="F173" s="1093"/>
      <c r="G173" s="98"/>
      <c r="H173" s="93"/>
      <c r="I173" s="1091"/>
      <c r="J173" s="1084"/>
      <c r="K173" s="1084"/>
      <c r="L173" s="932"/>
    </row>
    <row r="174" spans="1:12" s="106" customFormat="1" ht="15.75" hidden="1" customHeight="1" outlineLevel="1">
      <c r="A174" s="932"/>
      <c r="B174" s="1087"/>
      <c r="C174" s="1096"/>
      <c r="D174" s="1092"/>
      <c r="E174" s="1092"/>
      <c r="F174" s="1094"/>
      <c r="G174" s="103"/>
      <c r="H174" s="101"/>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93"/>
      <c r="I175" s="1091"/>
      <c r="J175" s="1083"/>
      <c r="K175" s="1083"/>
      <c r="L175" s="932"/>
    </row>
    <row r="176" spans="1:12" s="106" customFormat="1" ht="15.75" hidden="1" customHeight="1" outlineLevel="1">
      <c r="A176" s="932"/>
      <c r="B176" s="1086"/>
      <c r="C176" s="1095"/>
      <c r="D176" s="1091"/>
      <c r="E176" s="1091"/>
      <c r="F176" s="1093"/>
      <c r="G176" s="98"/>
      <c r="H176" s="93"/>
      <c r="I176" s="1091"/>
      <c r="J176" s="1084"/>
      <c r="K176" s="1084"/>
      <c r="L176" s="932"/>
    </row>
    <row r="177" spans="1:12" s="106" customFormat="1" ht="15.75" hidden="1" customHeight="1" outlineLevel="1">
      <c r="A177" s="932"/>
      <c r="B177" s="1087"/>
      <c r="C177" s="1096"/>
      <c r="D177" s="1092"/>
      <c r="E177" s="1092"/>
      <c r="F177" s="1094"/>
      <c r="G177" s="103"/>
      <c r="H177" s="101"/>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93"/>
      <c r="I178" s="1091"/>
      <c r="J178" s="1083"/>
      <c r="K178" s="1083"/>
      <c r="L178" s="932"/>
    </row>
    <row r="179" spans="1:12" s="106" customFormat="1" ht="15.75" hidden="1" customHeight="1" outlineLevel="1">
      <c r="A179" s="932"/>
      <c r="B179" s="1086"/>
      <c r="C179" s="1095"/>
      <c r="D179" s="1091"/>
      <c r="E179" s="1091"/>
      <c r="F179" s="1093"/>
      <c r="G179" s="98"/>
      <c r="H179" s="93"/>
      <c r="I179" s="1091"/>
      <c r="J179" s="1084"/>
      <c r="K179" s="1084"/>
      <c r="L179" s="932"/>
    </row>
    <row r="180" spans="1:12" s="106" customFormat="1" ht="15.75" hidden="1" customHeight="1" outlineLevel="1">
      <c r="A180" s="932"/>
      <c r="B180" s="1087"/>
      <c r="C180" s="1096"/>
      <c r="D180" s="1092"/>
      <c r="E180" s="1092"/>
      <c r="F180" s="1094"/>
      <c r="G180" s="103"/>
      <c r="H180" s="101"/>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93"/>
      <c r="I181" s="1091"/>
      <c r="J181" s="1083"/>
      <c r="K181" s="1083"/>
      <c r="L181" s="932"/>
    </row>
    <row r="182" spans="1:12" s="106" customFormat="1" ht="15.75" hidden="1" customHeight="1" outlineLevel="1">
      <c r="A182" s="932"/>
      <c r="B182" s="1086"/>
      <c r="C182" s="1095"/>
      <c r="D182" s="1091"/>
      <c r="E182" s="1091"/>
      <c r="F182" s="1093"/>
      <c r="G182" s="98"/>
      <c r="H182" s="93"/>
      <c r="I182" s="1091"/>
      <c r="J182" s="1084"/>
      <c r="K182" s="1084"/>
      <c r="L182" s="932"/>
    </row>
    <row r="183" spans="1:12" s="106" customFormat="1" ht="15.75" hidden="1" customHeight="1" outlineLevel="1">
      <c r="A183" s="932"/>
      <c r="B183" s="1087"/>
      <c r="C183" s="1096"/>
      <c r="D183" s="1092"/>
      <c r="E183" s="1092"/>
      <c r="F183" s="1094"/>
      <c r="G183" s="103"/>
      <c r="H183" s="101"/>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93"/>
      <c r="I184" s="1091"/>
      <c r="J184" s="1083"/>
      <c r="K184" s="1083"/>
      <c r="L184" s="932"/>
    </row>
    <row r="185" spans="1:12" s="106" customFormat="1" ht="15.75" hidden="1" customHeight="1" outlineLevel="1">
      <c r="A185" s="932"/>
      <c r="B185" s="1086"/>
      <c r="C185" s="1095"/>
      <c r="D185" s="1091"/>
      <c r="E185" s="1091"/>
      <c r="F185" s="1093"/>
      <c r="G185" s="98"/>
      <c r="H185" s="93"/>
      <c r="I185" s="1091"/>
      <c r="J185" s="1084"/>
      <c r="K185" s="1084"/>
      <c r="L185" s="932"/>
    </row>
    <row r="186" spans="1:12" s="106" customFormat="1" ht="15.75" hidden="1" customHeight="1" outlineLevel="1">
      <c r="A186" s="932"/>
      <c r="B186" s="1087"/>
      <c r="C186" s="1096"/>
      <c r="D186" s="1092"/>
      <c r="E186" s="1092"/>
      <c r="F186" s="1094"/>
      <c r="G186" s="103"/>
      <c r="H186" s="101"/>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93"/>
      <c r="I187" s="1091"/>
      <c r="J187" s="1083"/>
      <c r="K187" s="1083"/>
      <c r="L187" s="932"/>
    </row>
    <row r="188" spans="1:12" s="106" customFormat="1" ht="15.75" hidden="1" customHeight="1" outlineLevel="1">
      <c r="A188" s="932"/>
      <c r="B188" s="1086"/>
      <c r="C188" s="1095"/>
      <c r="D188" s="1091"/>
      <c r="E188" s="1091"/>
      <c r="F188" s="1093"/>
      <c r="G188" s="98"/>
      <c r="H188" s="93"/>
      <c r="I188" s="1091"/>
      <c r="J188" s="1084"/>
      <c r="K188" s="1084"/>
      <c r="L188" s="932"/>
    </row>
    <row r="189" spans="1:12" s="106" customFormat="1" ht="15.75" hidden="1" customHeight="1" outlineLevel="1">
      <c r="A189" s="932"/>
      <c r="B189" s="1087"/>
      <c r="C189" s="1096"/>
      <c r="D189" s="1092"/>
      <c r="E189" s="1092"/>
      <c r="F189" s="1094"/>
      <c r="G189" s="103"/>
      <c r="H189" s="101"/>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93"/>
      <c r="I190" s="1091"/>
      <c r="J190" s="1083"/>
      <c r="K190" s="1083"/>
      <c r="L190" s="932"/>
    </row>
    <row r="191" spans="1:12" s="106" customFormat="1" ht="15.75" hidden="1" customHeight="1" outlineLevel="1">
      <c r="A191" s="932"/>
      <c r="B191" s="1086"/>
      <c r="C191" s="1095"/>
      <c r="D191" s="1091"/>
      <c r="E191" s="1091"/>
      <c r="F191" s="1093"/>
      <c r="G191" s="98"/>
      <c r="H191" s="93"/>
      <c r="I191" s="1091"/>
      <c r="J191" s="1084"/>
      <c r="K191" s="1084"/>
      <c r="L191" s="932"/>
    </row>
    <row r="192" spans="1:12" s="106" customFormat="1" ht="15.75" hidden="1" customHeight="1" outlineLevel="1">
      <c r="A192" s="932"/>
      <c r="B192" s="1087"/>
      <c r="C192" s="1096"/>
      <c r="D192" s="1092"/>
      <c r="E192" s="1092"/>
      <c r="F192" s="1094"/>
      <c r="G192" s="103"/>
      <c r="H192" s="101"/>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93"/>
      <c r="I193" s="1091"/>
      <c r="J193" s="1083"/>
      <c r="K193" s="1083"/>
      <c r="L193" s="932"/>
    </row>
    <row r="194" spans="1:12" s="106" customFormat="1" ht="15.75" hidden="1" customHeight="1" outlineLevel="1">
      <c r="A194" s="932"/>
      <c r="B194" s="1086"/>
      <c r="C194" s="1095"/>
      <c r="D194" s="1091"/>
      <c r="E194" s="1091"/>
      <c r="F194" s="1093"/>
      <c r="G194" s="98"/>
      <c r="H194" s="93"/>
      <c r="I194" s="1091"/>
      <c r="J194" s="1084"/>
      <c r="K194" s="1084"/>
      <c r="L194" s="932"/>
    </row>
    <row r="195" spans="1:12" s="106" customFormat="1" ht="15.75" hidden="1" customHeight="1" outlineLevel="1">
      <c r="A195" s="932"/>
      <c r="B195" s="1087"/>
      <c r="C195" s="1096"/>
      <c r="D195" s="1092"/>
      <c r="E195" s="1092"/>
      <c r="F195" s="1094"/>
      <c r="G195" s="103"/>
      <c r="H195" s="101"/>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93"/>
      <c r="I196" s="1091"/>
      <c r="J196" s="1083"/>
      <c r="K196" s="1083"/>
      <c r="L196" s="932"/>
    </row>
    <row r="197" spans="1:12" s="106" customFormat="1" ht="15.75" hidden="1" customHeight="1" outlineLevel="1">
      <c r="A197" s="932"/>
      <c r="B197" s="1086"/>
      <c r="C197" s="1095"/>
      <c r="D197" s="1091"/>
      <c r="E197" s="1091"/>
      <c r="F197" s="1093"/>
      <c r="G197" s="98"/>
      <c r="H197" s="93"/>
      <c r="I197" s="1091"/>
      <c r="J197" s="1084"/>
      <c r="K197" s="1084"/>
      <c r="L197" s="932"/>
    </row>
    <row r="198" spans="1:12" s="106" customFormat="1" ht="15.75" hidden="1" customHeight="1" outlineLevel="1">
      <c r="A198" s="932"/>
      <c r="B198" s="1087"/>
      <c r="C198" s="1096"/>
      <c r="D198" s="1092"/>
      <c r="E198" s="1092"/>
      <c r="F198" s="1094"/>
      <c r="G198" s="103"/>
      <c r="H198" s="101"/>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93"/>
      <c r="I199" s="1091"/>
      <c r="J199" s="1083"/>
      <c r="K199" s="1083"/>
      <c r="L199" s="932"/>
    </row>
    <row r="200" spans="1:12" s="106" customFormat="1" ht="15.75" hidden="1" customHeight="1" outlineLevel="1">
      <c r="A200" s="932"/>
      <c r="B200" s="1086"/>
      <c r="C200" s="1095"/>
      <c r="D200" s="1091"/>
      <c r="E200" s="1091"/>
      <c r="F200" s="1093"/>
      <c r="G200" s="98"/>
      <c r="H200" s="93"/>
      <c r="I200" s="1091"/>
      <c r="J200" s="1084"/>
      <c r="K200" s="1084"/>
      <c r="L200" s="932"/>
    </row>
    <row r="201" spans="1:12" s="106" customFormat="1" ht="15.75" hidden="1" customHeight="1" outlineLevel="1">
      <c r="A201" s="932"/>
      <c r="B201" s="1087"/>
      <c r="C201" s="1096"/>
      <c r="D201" s="1092"/>
      <c r="E201" s="1092"/>
      <c r="F201" s="1094"/>
      <c r="G201" s="103"/>
      <c r="H201" s="101"/>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93"/>
      <c r="I202" s="1091"/>
      <c r="J202" s="1083"/>
      <c r="K202" s="1083"/>
      <c r="L202" s="932"/>
    </row>
    <row r="203" spans="1:12" s="106" customFormat="1" ht="15.75" hidden="1" customHeight="1" outlineLevel="1">
      <c r="A203" s="932"/>
      <c r="B203" s="1086"/>
      <c r="C203" s="1095"/>
      <c r="D203" s="1091"/>
      <c r="E203" s="1091"/>
      <c r="F203" s="1093"/>
      <c r="G203" s="98"/>
      <c r="H203" s="93"/>
      <c r="I203" s="1091"/>
      <c r="J203" s="1084"/>
      <c r="K203" s="1084"/>
      <c r="L203" s="932"/>
    </row>
    <row r="204" spans="1:12" s="106" customFormat="1" ht="15.75" hidden="1" customHeight="1" outlineLevel="1">
      <c r="A204" s="932"/>
      <c r="B204" s="1087"/>
      <c r="C204" s="1096"/>
      <c r="D204" s="1092"/>
      <c r="E204" s="1092"/>
      <c r="F204" s="1094"/>
      <c r="G204" s="103"/>
      <c r="H204" s="101"/>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93"/>
      <c r="I205" s="1091"/>
      <c r="J205" s="1083"/>
      <c r="K205" s="1083"/>
      <c r="L205" s="932"/>
    </row>
    <row r="206" spans="1:12" s="106" customFormat="1" ht="15.75" hidden="1" customHeight="1" outlineLevel="1">
      <c r="A206" s="932"/>
      <c r="B206" s="1086"/>
      <c r="C206" s="1095"/>
      <c r="D206" s="1091"/>
      <c r="E206" s="1091"/>
      <c r="F206" s="1093"/>
      <c r="G206" s="98"/>
      <c r="H206" s="93"/>
      <c r="I206" s="1091"/>
      <c r="J206" s="1084"/>
      <c r="K206" s="1084"/>
      <c r="L206" s="932"/>
    </row>
    <row r="207" spans="1:12" s="106" customFormat="1" ht="15.75" hidden="1" customHeight="1" outlineLevel="1">
      <c r="A207" s="932"/>
      <c r="B207" s="1087"/>
      <c r="C207" s="1096"/>
      <c r="D207" s="1092"/>
      <c r="E207" s="1092"/>
      <c r="F207" s="1094"/>
      <c r="G207" s="103"/>
      <c r="H207" s="101"/>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93"/>
      <c r="I208" s="1091"/>
      <c r="J208" s="1083"/>
      <c r="K208" s="1083"/>
      <c r="L208" s="932"/>
    </row>
    <row r="209" spans="1:12" s="106" customFormat="1" ht="15.75" hidden="1" customHeight="1" outlineLevel="1">
      <c r="A209" s="932"/>
      <c r="B209" s="1086"/>
      <c r="C209" s="1095"/>
      <c r="D209" s="1091"/>
      <c r="E209" s="1091"/>
      <c r="F209" s="1093"/>
      <c r="G209" s="98"/>
      <c r="H209" s="93"/>
      <c r="I209" s="1091"/>
      <c r="J209" s="1084"/>
      <c r="K209" s="1084"/>
      <c r="L209" s="932"/>
    </row>
    <row r="210" spans="1:12" s="106" customFormat="1" ht="15.75" hidden="1" customHeight="1" outlineLevel="1">
      <c r="A210" s="932"/>
      <c r="B210" s="1087"/>
      <c r="C210" s="1096"/>
      <c r="D210" s="1092"/>
      <c r="E210" s="1092"/>
      <c r="F210" s="1094"/>
      <c r="G210" s="103"/>
      <c r="H210" s="101"/>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93"/>
      <c r="I211" s="1091"/>
      <c r="J211" s="1083"/>
      <c r="K211" s="1083"/>
      <c r="L211" s="932"/>
    </row>
    <row r="212" spans="1:12" s="106" customFormat="1" ht="15.75" hidden="1" customHeight="1" outlineLevel="1">
      <c r="A212" s="932"/>
      <c r="B212" s="1086"/>
      <c r="C212" s="1095"/>
      <c r="D212" s="1091"/>
      <c r="E212" s="1091"/>
      <c r="F212" s="1093"/>
      <c r="G212" s="98"/>
      <c r="H212" s="93"/>
      <c r="I212" s="1091"/>
      <c r="J212" s="1084"/>
      <c r="K212" s="1084"/>
      <c r="L212" s="932"/>
    </row>
    <row r="213" spans="1:12" s="106" customFormat="1" ht="15.75" hidden="1" customHeight="1" outlineLevel="1">
      <c r="A213" s="932"/>
      <c r="B213" s="1087"/>
      <c r="C213" s="1096"/>
      <c r="D213" s="1092"/>
      <c r="E213" s="1092"/>
      <c r="F213" s="1094"/>
      <c r="G213" s="103"/>
      <c r="H213" s="101"/>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93"/>
      <c r="I214" s="1091"/>
      <c r="J214" s="1083"/>
      <c r="K214" s="1083"/>
      <c r="L214" s="932"/>
    </row>
    <row r="215" spans="1:12" s="106" customFormat="1" ht="15.75" hidden="1" customHeight="1" outlineLevel="1">
      <c r="A215" s="932"/>
      <c r="B215" s="1086"/>
      <c r="C215" s="1095"/>
      <c r="D215" s="1091"/>
      <c r="E215" s="1091"/>
      <c r="F215" s="1093"/>
      <c r="G215" s="98"/>
      <c r="H215" s="93"/>
      <c r="I215" s="1091"/>
      <c r="J215" s="1084"/>
      <c r="K215" s="1084"/>
      <c r="L215" s="932"/>
    </row>
    <row r="216" spans="1:12" s="106" customFormat="1" ht="15.75" hidden="1" customHeight="1" outlineLevel="1">
      <c r="A216" s="932"/>
      <c r="B216" s="1087"/>
      <c r="C216" s="1096"/>
      <c r="D216" s="1092"/>
      <c r="E216" s="1092"/>
      <c r="F216" s="1094"/>
      <c r="G216" s="103"/>
      <c r="H216" s="101"/>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93"/>
      <c r="I217" s="1091"/>
      <c r="J217" s="1083"/>
      <c r="K217" s="1083"/>
      <c r="L217" s="932"/>
    </row>
    <row r="218" spans="1:12" s="106" customFormat="1" ht="15.75" hidden="1" customHeight="1" outlineLevel="1">
      <c r="A218" s="932"/>
      <c r="B218" s="1086"/>
      <c r="C218" s="1095"/>
      <c r="D218" s="1091"/>
      <c r="E218" s="1091"/>
      <c r="F218" s="1093"/>
      <c r="G218" s="98"/>
      <c r="H218" s="93"/>
      <c r="I218" s="1091"/>
      <c r="J218" s="1084"/>
      <c r="K218" s="1084"/>
      <c r="L218" s="932"/>
    </row>
    <row r="219" spans="1:12" s="106" customFormat="1" ht="15.75" hidden="1" customHeight="1" outlineLevel="1">
      <c r="A219" s="932"/>
      <c r="B219" s="1087"/>
      <c r="C219" s="1096"/>
      <c r="D219" s="1092"/>
      <c r="E219" s="1092"/>
      <c r="F219" s="1094"/>
      <c r="G219" s="103"/>
      <c r="H219" s="101"/>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93"/>
      <c r="I220" s="1091"/>
      <c r="J220" s="1083"/>
      <c r="K220" s="1083"/>
      <c r="L220" s="932"/>
    </row>
    <row r="221" spans="1:12" s="106" customFormat="1" ht="15.75" hidden="1" customHeight="1" outlineLevel="1">
      <c r="A221" s="932"/>
      <c r="B221" s="1086"/>
      <c r="C221" s="1095"/>
      <c r="D221" s="1091"/>
      <c r="E221" s="1091"/>
      <c r="F221" s="1093"/>
      <c r="G221" s="98"/>
      <c r="H221" s="93"/>
      <c r="I221" s="1091"/>
      <c r="J221" s="1084"/>
      <c r="K221" s="1084"/>
      <c r="L221" s="932"/>
    </row>
    <row r="222" spans="1:12" s="106" customFormat="1" ht="15.75" hidden="1" customHeight="1" outlineLevel="1">
      <c r="A222" s="932"/>
      <c r="B222" s="1087"/>
      <c r="C222" s="1096"/>
      <c r="D222" s="1092"/>
      <c r="E222" s="1092"/>
      <c r="F222" s="1094"/>
      <c r="G222" s="103"/>
      <c r="H222" s="101"/>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93"/>
      <c r="I223" s="1091"/>
      <c r="J223" s="1083"/>
      <c r="K223" s="1083"/>
      <c r="L223" s="932"/>
    </row>
    <row r="224" spans="1:12" s="106" customFormat="1" ht="15.75" hidden="1" customHeight="1" outlineLevel="1">
      <c r="A224" s="932"/>
      <c r="B224" s="1086"/>
      <c r="C224" s="1095"/>
      <c r="D224" s="1091"/>
      <c r="E224" s="1091"/>
      <c r="F224" s="1093"/>
      <c r="G224" s="98"/>
      <c r="H224" s="93"/>
      <c r="I224" s="1091"/>
      <c r="J224" s="1084"/>
      <c r="K224" s="1084"/>
      <c r="L224" s="932"/>
    </row>
    <row r="225" spans="1:12" s="106" customFormat="1" ht="15.75" hidden="1" customHeight="1" outlineLevel="1">
      <c r="A225" s="932"/>
      <c r="B225" s="1087"/>
      <c r="C225" s="1096"/>
      <c r="D225" s="1092"/>
      <c r="E225" s="1092"/>
      <c r="F225" s="1094"/>
      <c r="G225" s="103"/>
      <c r="H225" s="101"/>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93"/>
      <c r="I226" s="1091"/>
      <c r="J226" s="1083"/>
      <c r="K226" s="1083"/>
      <c r="L226" s="932"/>
    </row>
    <row r="227" spans="1:12" s="106" customFormat="1" ht="15.75" hidden="1" customHeight="1" outlineLevel="1">
      <c r="A227" s="932"/>
      <c r="B227" s="1086"/>
      <c r="C227" s="1095"/>
      <c r="D227" s="1091"/>
      <c r="E227" s="1091"/>
      <c r="F227" s="1093"/>
      <c r="G227" s="98"/>
      <c r="H227" s="93"/>
      <c r="I227" s="1091"/>
      <c r="J227" s="1084"/>
      <c r="K227" s="1084"/>
      <c r="L227" s="932"/>
    </row>
    <row r="228" spans="1:12" s="106" customFormat="1" ht="15.75" hidden="1" customHeight="1" outlineLevel="1">
      <c r="A228" s="932"/>
      <c r="B228" s="1087"/>
      <c r="C228" s="1096"/>
      <c r="D228" s="1092"/>
      <c r="E228" s="1092"/>
      <c r="F228" s="1094"/>
      <c r="G228" s="103"/>
      <c r="H228" s="101"/>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93"/>
      <c r="I229" s="1091"/>
      <c r="J229" s="1083"/>
      <c r="K229" s="1083"/>
      <c r="L229" s="932"/>
    </row>
    <row r="230" spans="1:12" s="106" customFormat="1" ht="15.75" hidden="1" customHeight="1" outlineLevel="1">
      <c r="A230" s="932"/>
      <c r="B230" s="1086"/>
      <c r="C230" s="1095"/>
      <c r="D230" s="1091"/>
      <c r="E230" s="1091"/>
      <c r="F230" s="1093"/>
      <c r="G230" s="98"/>
      <c r="H230" s="93"/>
      <c r="I230" s="1091"/>
      <c r="J230" s="1084"/>
      <c r="K230" s="1084"/>
      <c r="L230" s="932"/>
    </row>
    <row r="231" spans="1:12" s="106" customFormat="1" ht="15.75" hidden="1" customHeight="1" outlineLevel="1">
      <c r="A231" s="932"/>
      <c r="B231" s="1087"/>
      <c r="C231" s="1096"/>
      <c r="D231" s="1092"/>
      <c r="E231" s="1092"/>
      <c r="F231" s="1094"/>
      <c r="G231" s="103"/>
      <c r="H231" s="101"/>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93"/>
      <c r="I232" s="1091"/>
      <c r="J232" s="1083"/>
      <c r="K232" s="1083"/>
      <c r="L232" s="932"/>
    </row>
    <row r="233" spans="1:12" s="106" customFormat="1" ht="15.75" hidden="1" customHeight="1" outlineLevel="1">
      <c r="A233" s="932"/>
      <c r="B233" s="1086"/>
      <c r="C233" s="1095"/>
      <c r="D233" s="1091"/>
      <c r="E233" s="1091"/>
      <c r="F233" s="1093"/>
      <c r="G233" s="98"/>
      <c r="H233" s="93"/>
      <c r="I233" s="1091"/>
      <c r="J233" s="1084"/>
      <c r="K233" s="1084"/>
      <c r="L233" s="932"/>
    </row>
    <row r="234" spans="1:12" s="106" customFormat="1" ht="15.75" hidden="1" customHeight="1" outlineLevel="1">
      <c r="A234" s="932"/>
      <c r="B234" s="1087"/>
      <c r="C234" s="1096"/>
      <c r="D234" s="1092"/>
      <c r="E234" s="1092"/>
      <c r="F234" s="1094"/>
      <c r="G234" s="103"/>
      <c r="H234" s="101"/>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93"/>
      <c r="I235" s="1091"/>
      <c r="J235" s="1083"/>
      <c r="K235" s="1083"/>
      <c r="L235" s="932"/>
    </row>
    <row r="236" spans="1:12" s="106" customFormat="1" ht="15.75" hidden="1" customHeight="1" outlineLevel="1">
      <c r="A236" s="932"/>
      <c r="B236" s="1086"/>
      <c r="C236" s="1095"/>
      <c r="D236" s="1091"/>
      <c r="E236" s="1091"/>
      <c r="F236" s="1093"/>
      <c r="G236" s="98"/>
      <c r="H236" s="93"/>
      <c r="I236" s="1091"/>
      <c r="J236" s="1084"/>
      <c r="K236" s="1084"/>
      <c r="L236" s="932"/>
    </row>
    <row r="237" spans="1:12" s="106" customFormat="1" ht="15.75" hidden="1" customHeight="1" outlineLevel="1">
      <c r="A237" s="932"/>
      <c r="B237" s="1087"/>
      <c r="C237" s="1096"/>
      <c r="D237" s="1092"/>
      <c r="E237" s="1092"/>
      <c r="F237" s="1094"/>
      <c r="G237" s="103"/>
      <c r="H237" s="101"/>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93"/>
      <c r="I238" s="1091"/>
      <c r="J238" s="1083"/>
      <c r="K238" s="1083"/>
      <c r="L238" s="932"/>
    </row>
    <row r="239" spans="1:12" s="106" customFormat="1" ht="15.75" hidden="1" customHeight="1" outlineLevel="1">
      <c r="A239" s="932"/>
      <c r="B239" s="1086"/>
      <c r="C239" s="1095"/>
      <c r="D239" s="1091"/>
      <c r="E239" s="1091"/>
      <c r="F239" s="1093"/>
      <c r="G239" s="98"/>
      <c r="H239" s="93"/>
      <c r="I239" s="1091"/>
      <c r="J239" s="1084"/>
      <c r="K239" s="1084"/>
      <c r="L239" s="932"/>
    </row>
    <row r="240" spans="1:12" s="106" customFormat="1" ht="15.75" hidden="1" customHeight="1" outlineLevel="1">
      <c r="A240" s="932"/>
      <c r="B240" s="1087"/>
      <c r="C240" s="1096"/>
      <c r="D240" s="1092"/>
      <c r="E240" s="1092"/>
      <c r="F240" s="1094"/>
      <c r="G240" s="103"/>
      <c r="H240" s="101"/>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93"/>
      <c r="I241" s="1091"/>
      <c r="J241" s="1083"/>
      <c r="K241" s="1083"/>
      <c r="L241" s="932"/>
    </row>
    <row r="242" spans="1:12" s="106" customFormat="1" ht="15.75" hidden="1" customHeight="1" outlineLevel="1">
      <c r="A242" s="932"/>
      <c r="B242" s="1086"/>
      <c r="C242" s="1095"/>
      <c r="D242" s="1091"/>
      <c r="E242" s="1091"/>
      <c r="F242" s="1093"/>
      <c r="G242" s="98"/>
      <c r="H242" s="93"/>
      <c r="I242" s="1091"/>
      <c r="J242" s="1084"/>
      <c r="K242" s="1084"/>
      <c r="L242" s="932"/>
    </row>
    <row r="243" spans="1:12" s="106" customFormat="1" ht="15.75" hidden="1" customHeight="1" outlineLevel="1">
      <c r="A243" s="932"/>
      <c r="B243" s="1087"/>
      <c r="C243" s="1096"/>
      <c r="D243" s="1092"/>
      <c r="E243" s="1092"/>
      <c r="F243" s="1094"/>
      <c r="G243" s="103"/>
      <c r="H243" s="101"/>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93"/>
      <c r="I244" s="1091"/>
      <c r="J244" s="1083"/>
      <c r="K244" s="1083"/>
      <c r="L244" s="932"/>
    </row>
    <row r="245" spans="1:12" s="106" customFormat="1" ht="15.75" hidden="1" customHeight="1" outlineLevel="1">
      <c r="A245" s="932"/>
      <c r="B245" s="1086"/>
      <c r="C245" s="1095"/>
      <c r="D245" s="1091"/>
      <c r="E245" s="1091"/>
      <c r="F245" s="1093"/>
      <c r="G245" s="98"/>
      <c r="H245" s="93"/>
      <c r="I245" s="1091"/>
      <c r="J245" s="1084"/>
      <c r="K245" s="1084"/>
      <c r="L245" s="932"/>
    </row>
    <row r="246" spans="1:12" s="106" customFormat="1" ht="15.75" hidden="1" customHeight="1" outlineLevel="1">
      <c r="A246" s="932"/>
      <c r="B246" s="1087"/>
      <c r="C246" s="1096"/>
      <c r="D246" s="1092"/>
      <c r="E246" s="1092"/>
      <c r="F246" s="1094"/>
      <c r="G246" s="103"/>
      <c r="H246" s="101"/>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93"/>
      <c r="I247" s="1091"/>
      <c r="J247" s="1083"/>
      <c r="K247" s="1083"/>
      <c r="L247" s="932"/>
    </row>
    <row r="248" spans="1:12" s="106" customFormat="1" ht="15.75" hidden="1" customHeight="1" outlineLevel="1">
      <c r="A248" s="932"/>
      <c r="B248" s="1086"/>
      <c r="C248" s="1095"/>
      <c r="D248" s="1091"/>
      <c r="E248" s="1091"/>
      <c r="F248" s="1093"/>
      <c r="G248" s="98"/>
      <c r="H248" s="93"/>
      <c r="I248" s="1091"/>
      <c r="J248" s="1084"/>
      <c r="K248" s="1084"/>
      <c r="L248" s="932"/>
    </row>
    <row r="249" spans="1:12" s="106" customFormat="1" ht="15.75" hidden="1" customHeight="1" outlineLevel="1">
      <c r="A249" s="932"/>
      <c r="B249" s="1087"/>
      <c r="C249" s="1096"/>
      <c r="D249" s="1092"/>
      <c r="E249" s="1092"/>
      <c r="F249" s="1094"/>
      <c r="G249" s="103"/>
      <c r="H249" s="101"/>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93"/>
      <c r="I250" s="1091"/>
      <c r="J250" s="1083"/>
      <c r="K250" s="1083"/>
      <c r="L250" s="932"/>
    </row>
    <row r="251" spans="1:12" s="106" customFormat="1" ht="15.75" hidden="1" customHeight="1" outlineLevel="1">
      <c r="A251" s="932"/>
      <c r="B251" s="1086"/>
      <c r="C251" s="1095"/>
      <c r="D251" s="1091"/>
      <c r="E251" s="1091"/>
      <c r="F251" s="1093"/>
      <c r="G251" s="98"/>
      <c r="H251" s="93"/>
      <c r="I251" s="1091"/>
      <c r="J251" s="1084"/>
      <c r="K251" s="1084"/>
      <c r="L251" s="932"/>
    </row>
    <row r="252" spans="1:12" s="106" customFormat="1" ht="15.75" hidden="1" customHeight="1" outlineLevel="1">
      <c r="A252" s="932"/>
      <c r="B252" s="1087"/>
      <c r="C252" s="1096"/>
      <c r="D252" s="1092"/>
      <c r="E252" s="1092"/>
      <c r="F252" s="1094"/>
      <c r="G252" s="103"/>
      <c r="H252" s="101"/>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93"/>
      <c r="I253" s="1091"/>
      <c r="J253" s="1083"/>
      <c r="K253" s="1083"/>
      <c r="L253" s="932"/>
    </row>
    <row r="254" spans="1:12" s="106" customFormat="1" ht="15.75" hidden="1" customHeight="1" outlineLevel="1">
      <c r="A254" s="932"/>
      <c r="B254" s="1086"/>
      <c r="C254" s="1095"/>
      <c r="D254" s="1091"/>
      <c r="E254" s="1091"/>
      <c r="F254" s="1093"/>
      <c r="G254" s="98"/>
      <c r="H254" s="93"/>
      <c r="I254" s="1091"/>
      <c r="J254" s="1084"/>
      <c r="K254" s="1084"/>
      <c r="L254" s="932"/>
    </row>
    <row r="255" spans="1:12" s="106" customFormat="1" ht="15.75" hidden="1" customHeight="1" outlineLevel="1">
      <c r="A255" s="932"/>
      <c r="B255" s="1087"/>
      <c r="C255" s="1096"/>
      <c r="D255" s="1092"/>
      <c r="E255" s="1092"/>
      <c r="F255" s="1094"/>
      <c r="G255" s="103"/>
      <c r="H255" s="101"/>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93"/>
      <c r="I256" s="1091"/>
      <c r="J256" s="1083"/>
      <c r="K256" s="1083"/>
      <c r="L256" s="932"/>
    </row>
    <row r="257" spans="1:12" s="106" customFormat="1" ht="15.75" hidden="1" customHeight="1" outlineLevel="1">
      <c r="A257" s="932"/>
      <c r="B257" s="1086"/>
      <c r="C257" s="1095"/>
      <c r="D257" s="1091"/>
      <c r="E257" s="1091"/>
      <c r="F257" s="1093"/>
      <c r="G257" s="98"/>
      <c r="H257" s="93"/>
      <c r="I257" s="1091"/>
      <c r="J257" s="1084"/>
      <c r="K257" s="1084"/>
      <c r="L257" s="932"/>
    </row>
    <row r="258" spans="1:12" s="106" customFormat="1" ht="15.75" hidden="1" customHeight="1" outlineLevel="1">
      <c r="A258" s="932"/>
      <c r="B258" s="1087"/>
      <c r="C258" s="1096"/>
      <c r="D258" s="1092"/>
      <c r="E258" s="1092"/>
      <c r="F258" s="1094"/>
      <c r="G258" s="103"/>
      <c r="H258" s="101"/>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93"/>
      <c r="I259" s="1091"/>
      <c r="J259" s="1083"/>
      <c r="K259" s="1083"/>
      <c r="L259" s="932"/>
    </row>
    <row r="260" spans="1:12" s="106" customFormat="1" ht="15.75" hidden="1" customHeight="1" outlineLevel="1">
      <c r="A260" s="932"/>
      <c r="B260" s="1086"/>
      <c r="C260" s="1095"/>
      <c r="D260" s="1091"/>
      <c r="E260" s="1091"/>
      <c r="F260" s="1093"/>
      <c r="G260" s="98"/>
      <c r="H260" s="93"/>
      <c r="I260" s="1091"/>
      <c r="J260" s="1084"/>
      <c r="K260" s="1084"/>
      <c r="L260" s="932"/>
    </row>
    <row r="261" spans="1:12" s="106" customFormat="1" ht="15.75" hidden="1" customHeight="1" outlineLevel="1">
      <c r="A261" s="932"/>
      <c r="B261" s="1087"/>
      <c r="C261" s="1096"/>
      <c r="D261" s="1092"/>
      <c r="E261" s="1092"/>
      <c r="F261" s="1094"/>
      <c r="G261" s="103"/>
      <c r="H261" s="101"/>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93"/>
      <c r="I262" s="1091"/>
      <c r="J262" s="1083"/>
      <c r="K262" s="1083"/>
      <c r="L262" s="932"/>
    </row>
    <row r="263" spans="1:12" s="106" customFormat="1" ht="15.75" hidden="1" customHeight="1" outlineLevel="1">
      <c r="A263" s="932"/>
      <c r="B263" s="1086"/>
      <c r="C263" s="1095"/>
      <c r="D263" s="1091"/>
      <c r="E263" s="1091"/>
      <c r="F263" s="1093"/>
      <c r="G263" s="98"/>
      <c r="H263" s="93"/>
      <c r="I263" s="1091"/>
      <c r="J263" s="1084"/>
      <c r="K263" s="1084"/>
      <c r="L263" s="932"/>
    </row>
    <row r="264" spans="1:12" s="106" customFormat="1" ht="15.75" hidden="1" customHeight="1" outlineLevel="1">
      <c r="A264" s="932"/>
      <c r="B264" s="1087"/>
      <c r="C264" s="1096"/>
      <c r="D264" s="1092"/>
      <c r="E264" s="1092"/>
      <c r="F264" s="1094"/>
      <c r="G264" s="103"/>
      <c r="H264" s="101"/>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93"/>
      <c r="I265" s="1091"/>
      <c r="J265" s="1083"/>
      <c r="K265" s="1083"/>
      <c r="L265" s="932"/>
    </row>
    <row r="266" spans="1:12" s="106" customFormat="1" ht="15.75" hidden="1" customHeight="1" outlineLevel="1">
      <c r="A266" s="932"/>
      <c r="B266" s="1086"/>
      <c r="C266" s="1095"/>
      <c r="D266" s="1091"/>
      <c r="E266" s="1091"/>
      <c r="F266" s="1093"/>
      <c r="G266" s="98"/>
      <c r="H266" s="93"/>
      <c r="I266" s="1091"/>
      <c r="J266" s="1084"/>
      <c r="K266" s="1084"/>
      <c r="L266" s="932"/>
    </row>
    <row r="267" spans="1:12" s="106" customFormat="1" ht="15.75" hidden="1" customHeight="1" outlineLevel="1">
      <c r="A267" s="932"/>
      <c r="B267" s="1087"/>
      <c r="C267" s="1096"/>
      <c r="D267" s="1092"/>
      <c r="E267" s="1092"/>
      <c r="F267" s="1094"/>
      <c r="G267" s="103"/>
      <c r="H267" s="101"/>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93"/>
      <c r="I268" s="1091"/>
      <c r="J268" s="1083"/>
      <c r="K268" s="1083"/>
      <c r="L268" s="932"/>
    </row>
    <row r="269" spans="1:12" s="106" customFormat="1" ht="15.75" hidden="1" customHeight="1" outlineLevel="1">
      <c r="A269" s="932"/>
      <c r="B269" s="1086"/>
      <c r="C269" s="1095"/>
      <c r="D269" s="1091"/>
      <c r="E269" s="1091"/>
      <c r="F269" s="1093"/>
      <c r="G269" s="98"/>
      <c r="H269" s="93"/>
      <c r="I269" s="1091"/>
      <c r="J269" s="1084"/>
      <c r="K269" s="1084"/>
      <c r="L269" s="932"/>
    </row>
    <row r="270" spans="1:12" s="106" customFormat="1" ht="15.75" hidden="1" customHeight="1" outlineLevel="1">
      <c r="A270" s="932"/>
      <c r="B270" s="1087"/>
      <c r="C270" s="1096"/>
      <c r="D270" s="1092"/>
      <c r="E270" s="1092"/>
      <c r="F270" s="1094"/>
      <c r="G270" s="103"/>
      <c r="H270" s="101"/>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93"/>
      <c r="I271" s="1091"/>
      <c r="J271" s="1083"/>
      <c r="K271" s="1083"/>
      <c r="L271" s="932"/>
    </row>
    <row r="272" spans="1:12" s="106" customFormat="1" ht="15.75" hidden="1" customHeight="1" outlineLevel="1">
      <c r="A272" s="932"/>
      <c r="B272" s="1086"/>
      <c r="C272" s="1095"/>
      <c r="D272" s="1091"/>
      <c r="E272" s="1091"/>
      <c r="F272" s="1093"/>
      <c r="G272" s="98"/>
      <c r="H272" s="93"/>
      <c r="I272" s="1091"/>
      <c r="J272" s="1084"/>
      <c r="K272" s="1084"/>
      <c r="L272" s="932"/>
    </row>
    <row r="273" spans="1:12" s="106" customFormat="1" ht="15.75" hidden="1" customHeight="1" outlineLevel="1">
      <c r="A273" s="932"/>
      <c r="B273" s="1087"/>
      <c r="C273" s="1096"/>
      <c r="D273" s="1092"/>
      <c r="E273" s="1092"/>
      <c r="F273" s="1094"/>
      <c r="G273" s="103"/>
      <c r="H273" s="101"/>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93"/>
      <c r="I274" s="1091"/>
      <c r="J274" s="1083"/>
      <c r="K274" s="1083"/>
      <c r="L274" s="932"/>
    </row>
    <row r="275" spans="1:12" s="106" customFormat="1" ht="15.75" hidden="1" customHeight="1" outlineLevel="1">
      <c r="A275" s="932"/>
      <c r="B275" s="1086"/>
      <c r="C275" s="1095"/>
      <c r="D275" s="1091"/>
      <c r="E275" s="1091"/>
      <c r="F275" s="1093"/>
      <c r="G275" s="98"/>
      <c r="H275" s="93"/>
      <c r="I275" s="1091"/>
      <c r="J275" s="1084"/>
      <c r="K275" s="1084"/>
      <c r="L275" s="932"/>
    </row>
    <row r="276" spans="1:12" s="106" customFormat="1" ht="15.75" hidden="1" customHeight="1" outlineLevel="1">
      <c r="A276" s="932"/>
      <c r="B276" s="1087"/>
      <c r="C276" s="1096"/>
      <c r="D276" s="1092"/>
      <c r="E276" s="1092"/>
      <c r="F276" s="1094"/>
      <c r="G276" s="103"/>
      <c r="H276" s="101"/>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93"/>
      <c r="I277" s="1091"/>
      <c r="J277" s="1083"/>
      <c r="K277" s="1083"/>
      <c r="L277" s="932"/>
    </row>
    <row r="278" spans="1:12" s="106" customFormat="1" ht="15.75" hidden="1" customHeight="1" outlineLevel="1">
      <c r="A278" s="932"/>
      <c r="B278" s="1086"/>
      <c r="C278" s="1095"/>
      <c r="D278" s="1091"/>
      <c r="E278" s="1091"/>
      <c r="F278" s="1093"/>
      <c r="G278" s="98"/>
      <c r="H278" s="93"/>
      <c r="I278" s="1091"/>
      <c r="J278" s="1084"/>
      <c r="K278" s="1084"/>
      <c r="L278" s="932"/>
    </row>
    <row r="279" spans="1:12" s="106" customFormat="1" ht="15.75" hidden="1" customHeight="1" outlineLevel="1">
      <c r="A279" s="932"/>
      <c r="B279" s="1087"/>
      <c r="C279" s="1096"/>
      <c r="D279" s="1092"/>
      <c r="E279" s="1092"/>
      <c r="F279" s="1094"/>
      <c r="G279" s="103"/>
      <c r="H279" s="101"/>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93"/>
      <c r="I280" s="1091"/>
      <c r="J280" s="1083"/>
      <c r="K280" s="1083"/>
      <c r="L280" s="932"/>
    </row>
    <row r="281" spans="1:12" s="106" customFormat="1" ht="15.75" hidden="1" customHeight="1" outlineLevel="1">
      <c r="A281" s="932"/>
      <c r="B281" s="1086"/>
      <c r="C281" s="1095"/>
      <c r="D281" s="1091"/>
      <c r="E281" s="1091"/>
      <c r="F281" s="1093"/>
      <c r="G281" s="98"/>
      <c r="H281" s="93"/>
      <c r="I281" s="1091"/>
      <c r="J281" s="1084"/>
      <c r="K281" s="1084"/>
      <c r="L281" s="932"/>
    </row>
    <row r="282" spans="1:12" s="106" customFormat="1" ht="15.75" hidden="1" customHeight="1" outlineLevel="1">
      <c r="A282" s="932"/>
      <c r="B282" s="1087"/>
      <c r="C282" s="1096"/>
      <c r="D282" s="1092"/>
      <c r="E282" s="1092"/>
      <c r="F282" s="1094"/>
      <c r="G282" s="103"/>
      <c r="H282" s="101"/>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93"/>
      <c r="I283" s="1091"/>
      <c r="J283" s="1083"/>
      <c r="K283" s="1083"/>
      <c r="L283" s="932"/>
    </row>
    <row r="284" spans="1:12" s="106" customFormat="1" ht="15.75" hidden="1" customHeight="1" outlineLevel="1">
      <c r="A284" s="932"/>
      <c r="B284" s="1086"/>
      <c r="C284" s="1095"/>
      <c r="D284" s="1091"/>
      <c r="E284" s="1091"/>
      <c r="F284" s="1093"/>
      <c r="G284" s="98"/>
      <c r="H284" s="93"/>
      <c r="I284" s="1091"/>
      <c r="J284" s="1084"/>
      <c r="K284" s="1084"/>
      <c r="L284" s="932"/>
    </row>
    <row r="285" spans="1:12" s="106" customFormat="1" ht="15.75" hidden="1" customHeight="1" outlineLevel="1">
      <c r="A285" s="932"/>
      <c r="B285" s="1087"/>
      <c r="C285" s="1096"/>
      <c r="D285" s="1092"/>
      <c r="E285" s="1092"/>
      <c r="F285" s="1094"/>
      <c r="G285" s="103"/>
      <c r="H285" s="101"/>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93"/>
      <c r="I286" s="1091"/>
      <c r="J286" s="1083"/>
      <c r="K286" s="1083"/>
      <c r="L286" s="932"/>
    </row>
    <row r="287" spans="1:12" s="106" customFormat="1" ht="15.75" hidden="1" customHeight="1" outlineLevel="1">
      <c r="A287" s="932"/>
      <c r="B287" s="1086"/>
      <c r="C287" s="1095"/>
      <c r="D287" s="1091"/>
      <c r="E287" s="1091"/>
      <c r="F287" s="1093"/>
      <c r="G287" s="98"/>
      <c r="H287" s="93"/>
      <c r="I287" s="1091"/>
      <c r="J287" s="1084"/>
      <c r="K287" s="1084"/>
      <c r="L287" s="932"/>
    </row>
    <row r="288" spans="1:12" s="106" customFormat="1" ht="15.75" hidden="1" customHeight="1" outlineLevel="1">
      <c r="A288" s="932"/>
      <c r="B288" s="1087"/>
      <c r="C288" s="1096"/>
      <c r="D288" s="1092"/>
      <c r="E288" s="1092"/>
      <c r="F288" s="1094"/>
      <c r="G288" s="103"/>
      <c r="H288" s="101"/>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93"/>
      <c r="I289" s="1091"/>
      <c r="J289" s="1083"/>
      <c r="K289" s="1083"/>
      <c r="L289" s="932"/>
    </row>
    <row r="290" spans="1:12" s="106" customFormat="1" ht="15.75" hidden="1" customHeight="1" outlineLevel="1">
      <c r="A290" s="932"/>
      <c r="B290" s="1086"/>
      <c r="C290" s="1095"/>
      <c r="D290" s="1091"/>
      <c r="E290" s="1091"/>
      <c r="F290" s="1093"/>
      <c r="G290" s="98"/>
      <c r="H290" s="93"/>
      <c r="I290" s="1091"/>
      <c r="J290" s="1084"/>
      <c r="K290" s="1084"/>
      <c r="L290" s="932"/>
    </row>
    <row r="291" spans="1:12" s="106" customFormat="1" ht="15.75" hidden="1" customHeight="1" outlineLevel="1">
      <c r="A291" s="932"/>
      <c r="B291" s="1087"/>
      <c r="C291" s="1096"/>
      <c r="D291" s="1092"/>
      <c r="E291" s="1092"/>
      <c r="F291" s="1094"/>
      <c r="G291" s="103"/>
      <c r="H291" s="101"/>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93"/>
      <c r="I292" s="1091"/>
      <c r="J292" s="1083"/>
      <c r="K292" s="1083"/>
      <c r="L292" s="932"/>
    </row>
    <row r="293" spans="1:12" s="106" customFormat="1" ht="15.75" hidden="1" customHeight="1" outlineLevel="1">
      <c r="A293" s="932"/>
      <c r="B293" s="1086"/>
      <c r="C293" s="1095"/>
      <c r="D293" s="1091"/>
      <c r="E293" s="1091"/>
      <c r="F293" s="1093"/>
      <c r="G293" s="98"/>
      <c r="H293" s="93"/>
      <c r="I293" s="1091"/>
      <c r="J293" s="1084"/>
      <c r="K293" s="1084"/>
      <c r="L293" s="932"/>
    </row>
    <row r="294" spans="1:12" s="106" customFormat="1" ht="15.75" hidden="1" customHeight="1" outlineLevel="1">
      <c r="A294" s="932"/>
      <c r="B294" s="1087"/>
      <c r="C294" s="1096"/>
      <c r="D294" s="1092"/>
      <c r="E294" s="1092"/>
      <c r="F294" s="1094"/>
      <c r="G294" s="103"/>
      <c r="H294" s="101"/>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93"/>
      <c r="I295" s="1091"/>
      <c r="J295" s="1083"/>
      <c r="K295" s="1083"/>
      <c r="L295" s="932"/>
    </row>
    <row r="296" spans="1:12" s="106" customFormat="1" ht="15.75" hidden="1" customHeight="1" outlineLevel="1">
      <c r="A296" s="932"/>
      <c r="B296" s="1086"/>
      <c r="C296" s="1095"/>
      <c r="D296" s="1091"/>
      <c r="E296" s="1091"/>
      <c r="F296" s="1093"/>
      <c r="G296" s="98"/>
      <c r="H296" s="93"/>
      <c r="I296" s="1091"/>
      <c r="J296" s="1084"/>
      <c r="K296" s="1084"/>
      <c r="L296" s="932"/>
    </row>
    <row r="297" spans="1:12" s="106" customFormat="1" ht="15.75" hidden="1" customHeight="1" outlineLevel="1">
      <c r="A297" s="932"/>
      <c r="B297" s="1087"/>
      <c r="C297" s="1096"/>
      <c r="D297" s="1092"/>
      <c r="E297" s="1092"/>
      <c r="F297" s="1094"/>
      <c r="G297" s="103"/>
      <c r="H297" s="101"/>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93"/>
      <c r="I298" s="1091"/>
      <c r="J298" s="1083"/>
      <c r="K298" s="1083"/>
      <c r="L298" s="932"/>
    </row>
    <row r="299" spans="1:12" s="106" customFormat="1" ht="15.75" hidden="1" customHeight="1" outlineLevel="1">
      <c r="A299" s="932"/>
      <c r="B299" s="1086"/>
      <c r="C299" s="1095"/>
      <c r="D299" s="1091"/>
      <c r="E299" s="1091"/>
      <c r="F299" s="1093"/>
      <c r="G299" s="98"/>
      <c r="H299" s="93"/>
      <c r="I299" s="1091"/>
      <c r="J299" s="1084"/>
      <c r="K299" s="1084"/>
      <c r="L299" s="932"/>
    </row>
    <row r="300" spans="1:12" s="106" customFormat="1" ht="15.75" hidden="1" customHeight="1" outlineLevel="1">
      <c r="A300" s="932"/>
      <c r="B300" s="1087"/>
      <c r="C300" s="1096"/>
      <c r="D300" s="1092"/>
      <c r="E300" s="1092"/>
      <c r="F300" s="1094"/>
      <c r="G300" s="103"/>
      <c r="H300" s="101"/>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93"/>
      <c r="I301" s="1091"/>
      <c r="J301" s="1083"/>
      <c r="K301" s="1083"/>
      <c r="L301" s="932"/>
    </row>
    <row r="302" spans="1:12" s="106" customFormat="1" ht="15.75" hidden="1" customHeight="1" outlineLevel="1">
      <c r="A302" s="932"/>
      <c r="B302" s="1086"/>
      <c r="C302" s="1095"/>
      <c r="D302" s="1091"/>
      <c r="E302" s="1091"/>
      <c r="F302" s="1093"/>
      <c r="G302" s="98"/>
      <c r="H302" s="93"/>
      <c r="I302" s="1091"/>
      <c r="J302" s="1084"/>
      <c r="K302" s="1084"/>
      <c r="L302" s="932"/>
    </row>
    <row r="303" spans="1:12" s="106" customFormat="1" ht="15.75" hidden="1" customHeight="1" outlineLevel="1">
      <c r="A303" s="932"/>
      <c r="B303" s="1087"/>
      <c r="C303" s="1096"/>
      <c r="D303" s="1092"/>
      <c r="E303" s="1092"/>
      <c r="F303" s="1094"/>
      <c r="G303" s="103"/>
      <c r="H303" s="101"/>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93"/>
      <c r="I304" s="1091"/>
      <c r="J304" s="1083"/>
      <c r="K304" s="1083"/>
      <c r="L304" s="932"/>
    </row>
    <row r="305" spans="1:12" s="106" customFormat="1" ht="15.75" hidden="1" customHeight="1" outlineLevel="1">
      <c r="A305" s="932"/>
      <c r="B305" s="1086"/>
      <c r="C305" s="1095"/>
      <c r="D305" s="1091"/>
      <c r="E305" s="1091"/>
      <c r="F305" s="1093"/>
      <c r="G305" s="98"/>
      <c r="H305" s="93"/>
      <c r="I305" s="1091"/>
      <c r="J305" s="1084"/>
      <c r="K305" s="1084"/>
      <c r="L305" s="932"/>
    </row>
    <row r="306" spans="1:12" s="106" customFormat="1" ht="15.75" hidden="1" customHeight="1" outlineLevel="1">
      <c r="A306" s="932"/>
      <c r="B306" s="1087"/>
      <c r="C306" s="1096"/>
      <c r="D306" s="1092"/>
      <c r="E306" s="1092"/>
      <c r="F306" s="1094"/>
      <c r="G306" s="103"/>
      <c r="H306" s="101"/>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93"/>
      <c r="I307" s="1091"/>
      <c r="J307" s="1083"/>
      <c r="K307" s="1083"/>
      <c r="L307" s="932"/>
    </row>
    <row r="308" spans="1:12" s="106" customFormat="1" ht="15.75" hidden="1" customHeight="1" outlineLevel="1">
      <c r="A308" s="932"/>
      <c r="B308" s="1086"/>
      <c r="C308" s="1095"/>
      <c r="D308" s="1091"/>
      <c r="E308" s="1091"/>
      <c r="F308" s="1093"/>
      <c r="G308" s="98"/>
      <c r="H308" s="93"/>
      <c r="I308" s="1091"/>
      <c r="J308" s="1084"/>
      <c r="K308" s="1084"/>
      <c r="L308" s="932"/>
    </row>
    <row r="309" spans="1:12" s="106" customFormat="1" ht="15.75" hidden="1" customHeight="1" outlineLevel="1">
      <c r="A309" s="932"/>
      <c r="B309" s="1087"/>
      <c r="C309" s="1096"/>
      <c r="D309" s="1092"/>
      <c r="E309" s="1092"/>
      <c r="F309" s="1094"/>
      <c r="G309" s="103"/>
      <c r="H309" s="101"/>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93"/>
      <c r="I310" s="1091"/>
      <c r="J310" s="1083"/>
      <c r="K310" s="1083"/>
      <c r="L310" s="932"/>
    </row>
    <row r="311" spans="1:12" s="106" customFormat="1" ht="15.75" hidden="1" customHeight="1" outlineLevel="1">
      <c r="A311" s="932"/>
      <c r="B311" s="1086"/>
      <c r="C311" s="1095"/>
      <c r="D311" s="1091"/>
      <c r="E311" s="1091"/>
      <c r="F311" s="1093"/>
      <c r="G311" s="98"/>
      <c r="H311" s="93"/>
      <c r="I311" s="1091"/>
      <c r="J311" s="1084"/>
      <c r="K311" s="1084"/>
      <c r="L311" s="932"/>
    </row>
    <row r="312" spans="1:12" s="106" customFormat="1" ht="15.75" hidden="1" customHeight="1" outlineLevel="1">
      <c r="A312" s="932"/>
      <c r="B312" s="1087"/>
      <c r="C312" s="1096"/>
      <c r="D312" s="1092"/>
      <c r="E312" s="1092"/>
      <c r="F312" s="1094"/>
      <c r="G312" s="103"/>
      <c r="H312" s="101"/>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93"/>
      <c r="I313" s="1091"/>
      <c r="J313" s="1083"/>
      <c r="K313" s="1083"/>
      <c r="L313" s="932"/>
    </row>
    <row r="314" spans="1:12" s="106" customFormat="1" ht="15.75" hidden="1" customHeight="1" outlineLevel="1">
      <c r="A314" s="932"/>
      <c r="B314" s="1086"/>
      <c r="C314" s="1095"/>
      <c r="D314" s="1091"/>
      <c r="E314" s="1091"/>
      <c r="F314" s="1093"/>
      <c r="G314" s="98"/>
      <c r="H314" s="93"/>
      <c r="I314" s="1091"/>
      <c r="J314" s="1084"/>
      <c r="K314" s="1084"/>
      <c r="L314" s="932"/>
    </row>
    <row r="315" spans="1:12" s="106" customFormat="1" ht="15.75" hidden="1" customHeight="1" outlineLevel="1">
      <c r="A315" s="932"/>
      <c r="B315" s="1087"/>
      <c r="C315" s="1096"/>
      <c r="D315" s="1092"/>
      <c r="E315" s="1092"/>
      <c r="F315" s="1094"/>
      <c r="G315" s="103"/>
      <c r="H315" s="101"/>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93"/>
      <c r="I316" s="1091"/>
      <c r="J316" s="1083"/>
      <c r="K316" s="1083"/>
      <c r="L316" s="932"/>
    </row>
    <row r="317" spans="1:12" s="106" customFormat="1" ht="15.75" hidden="1" customHeight="1" outlineLevel="1">
      <c r="A317" s="932"/>
      <c r="B317" s="1086"/>
      <c r="C317" s="1095"/>
      <c r="D317" s="1091"/>
      <c r="E317" s="1091"/>
      <c r="F317" s="1093"/>
      <c r="G317" s="98"/>
      <c r="H317" s="93"/>
      <c r="I317" s="1091"/>
      <c r="J317" s="1084"/>
      <c r="K317" s="1084"/>
      <c r="L317" s="932"/>
    </row>
    <row r="318" spans="1:12" s="106" customFormat="1" ht="15.75" hidden="1" customHeight="1" outlineLevel="1">
      <c r="A318" s="932"/>
      <c r="B318" s="1087"/>
      <c r="C318" s="1096"/>
      <c r="D318" s="1092"/>
      <c r="E318" s="1092"/>
      <c r="F318" s="1094"/>
      <c r="G318" s="103"/>
      <c r="H318" s="101"/>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93"/>
      <c r="I319" s="1091"/>
      <c r="J319" s="1083"/>
      <c r="K319" s="1083"/>
      <c r="L319" s="932"/>
    </row>
    <row r="320" spans="1:12" s="106" customFormat="1" ht="15.75" hidden="1" customHeight="1" outlineLevel="1">
      <c r="A320" s="932"/>
      <c r="B320" s="1086"/>
      <c r="C320" s="1095"/>
      <c r="D320" s="1091"/>
      <c r="E320" s="1091"/>
      <c r="F320" s="1093"/>
      <c r="G320" s="98"/>
      <c r="H320" s="93"/>
      <c r="I320" s="1091"/>
      <c r="J320" s="1084"/>
      <c r="K320" s="1084"/>
      <c r="L320" s="932"/>
    </row>
    <row r="321" spans="1:12" s="106" customFormat="1" ht="15.75" hidden="1" customHeight="1" outlineLevel="1">
      <c r="A321" s="932"/>
      <c r="B321" s="1087"/>
      <c r="C321" s="1096"/>
      <c r="D321" s="1092"/>
      <c r="E321" s="1092"/>
      <c r="F321" s="1094"/>
      <c r="G321" s="103"/>
      <c r="H321" s="101"/>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93"/>
      <c r="I322" s="1091"/>
      <c r="J322" s="1083"/>
      <c r="K322" s="1083"/>
      <c r="L322" s="932"/>
    </row>
    <row r="323" spans="1:12" s="106" customFormat="1" ht="15.75" hidden="1" customHeight="1" outlineLevel="1">
      <c r="A323" s="932"/>
      <c r="B323" s="1086"/>
      <c r="C323" s="1095"/>
      <c r="D323" s="1091"/>
      <c r="E323" s="1091"/>
      <c r="F323" s="1093"/>
      <c r="G323" s="98"/>
      <c r="H323" s="93"/>
      <c r="I323" s="1091"/>
      <c r="J323" s="1084"/>
      <c r="K323" s="1084"/>
      <c r="L323" s="932"/>
    </row>
    <row r="324" spans="1:12" s="106" customFormat="1" ht="15.75" hidden="1" customHeight="1" outlineLevel="1">
      <c r="A324" s="932"/>
      <c r="B324" s="1087"/>
      <c r="C324" s="1096"/>
      <c r="D324" s="1092"/>
      <c r="E324" s="1092"/>
      <c r="F324" s="1094"/>
      <c r="G324" s="103"/>
      <c r="H324" s="101"/>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93"/>
      <c r="I325" s="1091"/>
      <c r="J325" s="1083"/>
      <c r="K325" s="1083"/>
      <c r="L325" s="932"/>
    </row>
    <row r="326" spans="1:12" s="106" customFormat="1" ht="15.75" hidden="1" customHeight="1" outlineLevel="1">
      <c r="A326" s="932"/>
      <c r="B326" s="1086"/>
      <c r="C326" s="1095"/>
      <c r="D326" s="1091"/>
      <c r="E326" s="1091"/>
      <c r="F326" s="1093"/>
      <c r="G326" s="98"/>
      <c r="H326" s="93"/>
      <c r="I326" s="1091"/>
      <c r="J326" s="1084"/>
      <c r="K326" s="1084"/>
      <c r="L326" s="932"/>
    </row>
    <row r="327" spans="1:12" s="106" customFormat="1" ht="15.75" hidden="1" customHeight="1" outlineLevel="1">
      <c r="A327" s="932"/>
      <c r="B327" s="1087"/>
      <c r="C327" s="1096"/>
      <c r="D327" s="1092"/>
      <c r="E327" s="1092"/>
      <c r="F327" s="1094"/>
      <c r="G327" s="103"/>
      <c r="H327" s="101"/>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93"/>
      <c r="I328" s="1091"/>
      <c r="J328" s="1083"/>
      <c r="K328" s="1083"/>
      <c r="L328" s="932"/>
    </row>
    <row r="329" spans="1:12" s="106" customFormat="1" ht="15.75" hidden="1" customHeight="1" outlineLevel="1">
      <c r="A329" s="932"/>
      <c r="B329" s="1086"/>
      <c r="C329" s="1095"/>
      <c r="D329" s="1091"/>
      <c r="E329" s="1091"/>
      <c r="F329" s="1093"/>
      <c r="G329" s="98"/>
      <c r="H329" s="93"/>
      <c r="I329" s="1091"/>
      <c r="J329" s="1084"/>
      <c r="K329" s="1084"/>
      <c r="L329" s="932"/>
    </row>
    <row r="330" spans="1:12" s="106" customFormat="1" ht="15.75" hidden="1" customHeight="1" outlineLevel="1">
      <c r="A330" s="932"/>
      <c r="B330" s="1087"/>
      <c r="C330" s="1096"/>
      <c r="D330" s="1092"/>
      <c r="E330" s="1092"/>
      <c r="F330" s="1094"/>
      <c r="G330" s="103"/>
      <c r="H330" s="101"/>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93"/>
      <c r="I331" s="1091"/>
      <c r="J331" s="1083"/>
      <c r="K331" s="1083"/>
      <c r="L331" s="932"/>
    </row>
    <row r="332" spans="1:12" s="106" customFormat="1" ht="15.75" hidden="1" customHeight="1" outlineLevel="1">
      <c r="A332" s="932"/>
      <c r="B332" s="1086"/>
      <c r="C332" s="1095"/>
      <c r="D332" s="1091"/>
      <c r="E332" s="1091"/>
      <c r="F332" s="1093"/>
      <c r="G332" s="98"/>
      <c r="H332" s="93"/>
      <c r="I332" s="1091"/>
      <c r="J332" s="1084"/>
      <c r="K332" s="1084"/>
      <c r="L332" s="932"/>
    </row>
    <row r="333" spans="1:12" s="106" customFormat="1" ht="15.75" hidden="1" customHeight="1" outlineLevel="1">
      <c r="A333" s="932"/>
      <c r="B333" s="1087"/>
      <c r="C333" s="1096"/>
      <c r="D333" s="1092"/>
      <c r="E333" s="1092"/>
      <c r="F333" s="1094"/>
      <c r="G333" s="103"/>
      <c r="H333" s="101"/>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93"/>
      <c r="I334" s="1091"/>
      <c r="J334" s="1083"/>
      <c r="K334" s="1083"/>
      <c r="L334" s="932"/>
    </row>
    <row r="335" spans="1:12" s="106" customFormat="1" ht="15.75" hidden="1" customHeight="1" outlineLevel="1">
      <c r="A335" s="932"/>
      <c r="B335" s="1086"/>
      <c r="C335" s="1095"/>
      <c r="D335" s="1091"/>
      <c r="E335" s="1091"/>
      <c r="F335" s="1093"/>
      <c r="G335" s="98"/>
      <c r="H335" s="93"/>
      <c r="I335" s="1091"/>
      <c r="J335" s="1084"/>
      <c r="K335" s="1084"/>
      <c r="L335" s="932"/>
    </row>
    <row r="336" spans="1:12" s="106" customFormat="1" ht="15.75" hidden="1" customHeight="1" outlineLevel="1">
      <c r="A336" s="932"/>
      <c r="B336" s="1087"/>
      <c r="C336" s="1096"/>
      <c r="D336" s="1092"/>
      <c r="E336" s="1092"/>
      <c r="F336" s="1094"/>
      <c r="G336" s="103"/>
      <c r="H336" s="101"/>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93"/>
      <c r="I337" s="1091"/>
      <c r="J337" s="1083"/>
      <c r="K337" s="1083"/>
      <c r="L337" s="932"/>
    </row>
    <row r="338" spans="1:12" s="106" customFormat="1" ht="15.75" hidden="1" customHeight="1" outlineLevel="1">
      <c r="A338" s="932"/>
      <c r="B338" s="1086"/>
      <c r="C338" s="1095"/>
      <c r="D338" s="1091"/>
      <c r="E338" s="1091"/>
      <c r="F338" s="1093"/>
      <c r="G338" s="98"/>
      <c r="H338" s="93"/>
      <c r="I338" s="1091"/>
      <c r="J338" s="1084"/>
      <c r="K338" s="1084"/>
      <c r="L338" s="932"/>
    </row>
    <row r="339" spans="1:12" s="106" customFormat="1" ht="15.75" hidden="1" customHeight="1" outlineLevel="1">
      <c r="A339" s="932"/>
      <c r="B339" s="1087"/>
      <c r="C339" s="1096"/>
      <c r="D339" s="1092"/>
      <c r="E339" s="1092"/>
      <c r="F339" s="1094"/>
      <c r="G339" s="103"/>
      <c r="H339" s="101"/>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93"/>
      <c r="I340" s="1091"/>
      <c r="J340" s="1083"/>
      <c r="K340" s="1083"/>
      <c r="L340" s="932"/>
    </row>
    <row r="341" spans="1:12" s="106" customFormat="1" ht="15.75" hidden="1" customHeight="1" outlineLevel="1">
      <c r="A341" s="932"/>
      <c r="B341" s="1086"/>
      <c r="C341" s="1095"/>
      <c r="D341" s="1091"/>
      <c r="E341" s="1091"/>
      <c r="F341" s="1093"/>
      <c r="G341" s="98"/>
      <c r="H341" s="93"/>
      <c r="I341" s="1091"/>
      <c r="J341" s="1084"/>
      <c r="K341" s="1084"/>
      <c r="L341" s="932"/>
    </row>
    <row r="342" spans="1:12" s="106" customFormat="1" ht="15.75" hidden="1" customHeight="1" outlineLevel="1">
      <c r="A342" s="932"/>
      <c r="B342" s="1087"/>
      <c r="C342" s="1096"/>
      <c r="D342" s="1092"/>
      <c r="E342" s="1092"/>
      <c r="F342" s="1094"/>
      <c r="G342" s="103"/>
      <c r="H342" s="101"/>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93"/>
      <c r="I343" s="1091"/>
      <c r="J343" s="1083"/>
      <c r="K343" s="1083"/>
      <c r="L343" s="932"/>
    </row>
    <row r="344" spans="1:12" s="106" customFormat="1" ht="15.75" hidden="1" customHeight="1" outlineLevel="1">
      <c r="A344" s="932"/>
      <c r="B344" s="1086"/>
      <c r="C344" s="1095"/>
      <c r="D344" s="1091"/>
      <c r="E344" s="1091"/>
      <c r="F344" s="1093"/>
      <c r="G344" s="98"/>
      <c r="H344" s="93"/>
      <c r="I344" s="1091"/>
      <c r="J344" s="1084"/>
      <c r="K344" s="1084"/>
      <c r="L344" s="932"/>
    </row>
    <row r="345" spans="1:12" s="106" customFormat="1" ht="15.75" hidden="1" customHeight="1" outlineLevel="1">
      <c r="A345" s="932"/>
      <c r="B345" s="1087"/>
      <c r="C345" s="1096"/>
      <c r="D345" s="1092"/>
      <c r="E345" s="1092"/>
      <c r="F345" s="1094"/>
      <c r="G345" s="103"/>
      <c r="H345" s="101"/>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93"/>
      <c r="I346" s="1091"/>
      <c r="J346" s="1083"/>
      <c r="K346" s="1083"/>
      <c r="L346" s="932"/>
    </row>
    <row r="347" spans="1:12" s="106" customFormat="1" ht="15.75" hidden="1" customHeight="1" outlineLevel="1">
      <c r="A347" s="932"/>
      <c r="B347" s="1086"/>
      <c r="C347" s="1095"/>
      <c r="D347" s="1091"/>
      <c r="E347" s="1091"/>
      <c r="F347" s="1093"/>
      <c r="G347" s="98"/>
      <c r="H347" s="93"/>
      <c r="I347" s="1091"/>
      <c r="J347" s="1084"/>
      <c r="K347" s="1084"/>
      <c r="L347" s="932"/>
    </row>
    <row r="348" spans="1:12" s="106" customFormat="1" ht="15.75" hidden="1" customHeight="1" outlineLevel="1">
      <c r="A348" s="932"/>
      <c r="B348" s="1087"/>
      <c r="C348" s="1096"/>
      <c r="D348" s="1092"/>
      <c r="E348" s="1092"/>
      <c r="F348" s="1094"/>
      <c r="G348" s="103"/>
      <c r="H348" s="101"/>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93"/>
      <c r="I349" s="1091"/>
      <c r="J349" s="1083"/>
      <c r="K349" s="1083"/>
      <c r="L349" s="932"/>
    </row>
    <row r="350" spans="1:12" s="106" customFormat="1" ht="15.75" hidden="1" customHeight="1" outlineLevel="1">
      <c r="A350" s="932"/>
      <c r="B350" s="1086"/>
      <c r="C350" s="1095"/>
      <c r="D350" s="1091"/>
      <c r="E350" s="1091"/>
      <c r="F350" s="1093"/>
      <c r="G350" s="98"/>
      <c r="H350" s="93"/>
      <c r="I350" s="1091"/>
      <c r="J350" s="1084"/>
      <c r="K350" s="1084"/>
      <c r="L350" s="932"/>
    </row>
    <row r="351" spans="1:12" s="106" customFormat="1" ht="15.75" hidden="1" customHeight="1" outlineLevel="1">
      <c r="A351" s="932"/>
      <c r="B351" s="1087"/>
      <c r="C351" s="1096"/>
      <c r="D351" s="1092"/>
      <c r="E351" s="1092"/>
      <c r="F351" s="1094"/>
      <c r="G351" s="103"/>
      <c r="H351" s="101"/>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93"/>
      <c r="I352" s="1091"/>
      <c r="J352" s="1083"/>
      <c r="K352" s="1083"/>
      <c r="L352" s="932"/>
    </row>
    <row r="353" spans="1:12" s="106" customFormat="1" ht="15.75" hidden="1" customHeight="1" outlineLevel="1">
      <c r="A353" s="932"/>
      <c r="B353" s="1086"/>
      <c r="C353" s="1095"/>
      <c r="D353" s="1091"/>
      <c r="E353" s="1091"/>
      <c r="F353" s="1093"/>
      <c r="G353" s="98"/>
      <c r="H353" s="93"/>
      <c r="I353" s="1091"/>
      <c r="J353" s="1084"/>
      <c r="K353" s="1084"/>
      <c r="L353" s="932"/>
    </row>
    <row r="354" spans="1:12" s="106" customFormat="1" ht="15.75" hidden="1" customHeight="1" outlineLevel="1">
      <c r="A354" s="932"/>
      <c r="B354" s="1087"/>
      <c r="C354" s="1096"/>
      <c r="D354" s="1092"/>
      <c r="E354" s="1092"/>
      <c r="F354" s="1094"/>
      <c r="G354" s="103"/>
      <c r="H354" s="101"/>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93"/>
      <c r="I355" s="1091"/>
      <c r="J355" s="1083"/>
      <c r="K355" s="1083"/>
      <c r="L355" s="932"/>
    </row>
    <row r="356" spans="1:12" s="106" customFormat="1" ht="15.75" hidden="1" customHeight="1" outlineLevel="1">
      <c r="A356" s="932"/>
      <c r="B356" s="1086"/>
      <c r="C356" s="1095"/>
      <c r="D356" s="1091"/>
      <c r="E356" s="1091"/>
      <c r="F356" s="1093"/>
      <c r="G356" s="98"/>
      <c r="H356" s="93"/>
      <c r="I356" s="1091"/>
      <c r="J356" s="1084"/>
      <c r="K356" s="1084"/>
      <c r="L356" s="932"/>
    </row>
    <row r="357" spans="1:12" s="106" customFormat="1" ht="15.75" hidden="1" customHeight="1" outlineLevel="1">
      <c r="A357" s="932"/>
      <c r="B357" s="1087"/>
      <c r="C357" s="1096"/>
      <c r="D357" s="1092"/>
      <c r="E357" s="1092"/>
      <c r="F357" s="1094"/>
      <c r="G357" s="103"/>
      <c r="H357" s="101"/>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93"/>
      <c r="I358" s="1091"/>
      <c r="J358" s="1083"/>
      <c r="K358" s="1083"/>
      <c r="L358" s="932"/>
    </row>
    <row r="359" spans="1:12" s="106" customFormat="1" ht="15.75" hidden="1" customHeight="1" outlineLevel="1">
      <c r="A359" s="932"/>
      <c r="B359" s="1086"/>
      <c r="C359" s="1095"/>
      <c r="D359" s="1091"/>
      <c r="E359" s="1091"/>
      <c r="F359" s="1093"/>
      <c r="G359" s="98"/>
      <c r="H359" s="93"/>
      <c r="I359" s="1091"/>
      <c r="J359" s="1084"/>
      <c r="K359" s="1084"/>
      <c r="L359" s="932"/>
    </row>
    <row r="360" spans="1:12" s="106" customFormat="1" ht="15.75" hidden="1" customHeight="1" outlineLevel="1">
      <c r="A360" s="932"/>
      <c r="B360" s="1087"/>
      <c r="C360" s="1096"/>
      <c r="D360" s="1092"/>
      <c r="E360" s="1092"/>
      <c r="F360" s="1094"/>
      <c r="G360" s="103"/>
      <c r="H360" s="101"/>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93"/>
      <c r="I361" s="1091"/>
      <c r="J361" s="1083"/>
      <c r="K361" s="1083"/>
      <c r="L361" s="932"/>
    </row>
    <row r="362" spans="1:12" s="106" customFormat="1" ht="15.75" hidden="1" customHeight="1" outlineLevel="1">
      <c r="A362" s="932"/>
      <c r="B362" s="1086"/>
      <c r="C362" s="1095"/>
      <c r="D362" s="1091"/>
      <c r="E362" s="1091"/>
      <c r="F362" s="1093"/>
      <c r="G362" s="98"/>
      <c r="H362" s="93"/>
      <c r="I362" s="1091"/>
      <c r="J362" s="1084"/>
      <c r="K362" s="1084"/>
      <c r="L362" s="932"/>
    </row>
    <row r="363" spans="1:12" s="106" customFormat="1" ht="15.75" hidden="1" customHeight="1" outlineLevel="1">
      <c r="A363" s="932"/>
      <c r="B363" s="1087"/>
      <c r="C363" s="1096"/>
      <c r="D363" s="1092"/>
      <c r="E363" s="1092"/>
      <c r="F363" s="1094"/>
      <c r="G363" s="103"/>
      <c r="H363" s="101"/>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93"/>
      <c r="I364" s="1091"/>
      <c r="J364" s="1083"/>
      <c r="K364" s="1083"/>
      <c r="L364" s="932"/>
    </row>
    <row r="365" spans="1:12" s="106" customFormat="1" ht="15.75" hidden="1" customHeight="1" outlineLevel="1">
      <c r="A365" s="932"/>
      <c r="B365" s="1086"/>
      <c r="C365" s="1095"/>
      <c r="D365" s="1091"/>
      <c r="E365" s="1091"/>
      <c r="F365" s="1093"/>
      <c r="G365" s="98"/>
      <c r="H365" s="93"/>
      <c r="I365" s="1091"/>
      <c r="J365" s="1084"/>
      <c r="K365" s="1084"/>
      <c r="L365" s="932"/>
    </row>
    <row r="366" spans="1:12" s="106" customFormat="1" ht="15.75" hidden="1" customHeight="1" outlineLevel="1">
      <c r="A366" s="932"/>
      <c r="B366" s="1087"/>
      <c r="C366" s="1096"/>
      <c r="D366" s="1092"/>
      <c r="E366" s="1092"/>
      <c r="F366" s="1094"/>
      <c r="G366" s="103"/>
      <c r="H366" s="101"/>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93"/>
      <c r="I367" s="1091"/>
      <c r="J367" s="1083"/>
      <c r="K367" s="1083"/>
      <c r="L367" s="932"/>
    </row>
    <row r="368" spans="1:12" s="106" customFormat="1" ht="15.75" hidden="1" customHeight="1" outlineLevel="1">
      <c r="A368" s="932"/>
      <c r="B368" s="1086"/>
      <c r="C368" s="1095"/>
      <c r="D368" s="1091"/>
      <c r="E368" s="1091"/>
      <c r="F368" s="1093"/>
      <c r="G368" s="98"/>
      <c r="H368" s="93"/>
      <c r="I368" s="1091"/>
      <c r="J368" s="1084"/>
      <c r="K368" s="1084"/>
      <c r="L368" s="932"/>
    </row>
    <row r="369" spans="1:12" s="106" customFormat="1" ht="15.75" hidden="1" customHeight="1" outlineLevel="1">
      <c r="A369" s="932"/>
      <c r="B369" s="1087"/>
      <c r="C369" s="1096"/>
      <c r="D369" s="1092"/>
      <c r="E369" s="1092"/>
      <c r="F369" s="1094"/>
      <c r="G369" s="103"/>
      <c r="H369" s="101"/>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93"/>
      <c r="I370" s="1091"/>
      <c r="J370" s="1083"/>
      <c r="K370" s="1083"/>
      <c r="L370" s="932"/>
    </row>
    <row r="371" spans="1:12" s="106" customFormat="1" ht="15.75" hidden="1" customHeight="1" outlineLevel="1">
      <c r="A371" s="932"/>
      <c r="B371" s="1086"/>
      <c r="C371" s="1095"/>
      <c r="D371" s="1091"/>
      <c r="E371" s="1091"/>
      <c r="F371" s="1093"/>
      <c r="G371" s="98"/>
      <c r="H371" s="93"/>
      <c r="I371" s="1091"/>
      <c r="J371" s="1084"/>
      <c r="K371" s="1084"/>
      <c r="L371" s="932"/>
    </row>
    <row r="372" spans="1:12" s="106" customFormat="1" ht="15.75" hidden="1" customHeight="1" outlineLevel="1">
      <c r="A372" s="932"/>
      <c r="B372" s="1087"/>
      <c r="C372" s="1096"/>
      <c r="D372" s="1092"/>
      <c r="E372" s="1092"/>
      <c r="F372" s="1094"/>
      <c r="G372" s="103"/>
      <c r="H372" s="101"/>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93"/>
      <c r="I373" s="1091"/>
      <c r="J373" s="1083"/>
      <c r="K373" s="1083"/>
      <c r="L373" s="932"/>
    </row>
    <row r="374" spans="1:12" s="106" customFormat="1" ht="15.75" hidden="1" customHeight="1" outlineLevel="1">
      <c r="A374" s="932"/>
      <c r="B374" s="1086"/>
      <c r="C374" s="1095"/>
      <c r="D374" s="1091"/>
      <c r="E374" s="1091"/>
      <c r="F374" s="1093"/>
      <c r="G374" s="98"/>
      <c r="H374" s="93"/>
      <c r="I374" s="1091"/>
      <c r="J374" s="1084"/>
      <c r="K374" s="1084"/>
      <c r="L374" s="932"/>
    </row>
    <row r="375" spans="1:12" s="106" customFormat="1" ht="15.75" hidden="1" customHeight="1" outlineLevel="1">
      <c r="A375" s="932"/>
      <c r="B375" s="1087"/>
      <c r="C375" s="1096"/>
      <c r="D375" s="1092"/>
      <c r="E375" s="1092"/>
      <c r="F375" s="1094"/>
      <c r="G375" s="103"/>
      <c r="H375" s="101"/>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93"/>
      <c r="I376" s="1091"/>
      <c r="J376" s="1083"/>
      <c r="K376" s="1083"/>
      <c r="L376" s="932"/>
    </row>
    <row r="377" spans="1:12" s="106" customFormat="1" ht="15.75" hidden="1" customHeight="1" outlineLevel="1">
      <c r="A377" s="932"/>
      <c r="B377" s="1086"/>
      <c r="C377" s="1095"/>
      <c r="D377" s="1091"/>
      <c r="E377" s="1091"/>
      <c r="F377" s="1093"/>
      <c r="G377" s="98"/>
      <c r="H377" s="93"/>
      <c r="I377" s="1091"/>
      <c r="J377" s="1084"/>
      <c r="K377" s="1084"/>
      <c r="L377" s="932"/>
    </row>
    <row r="378" spans="1:12" s="106" customFormat="1" ht="15.75" hidden="1" customHeight="1" outlineLevel="1">
      <c r="A378" s="932"/>
      <c r="B378" s="1087"/>
      <c r="C378" s="1096"/>
      <c r="D378" s="1092"/>
      <c r="E378" s="1092"/>
      <c r="F378" s="1094"/>
      <c r="G378" s="103"/>
      <c r="H378" s="101"/>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93"/>
      <c r="I379" s="1091"/>
      <c r="J379" s="1083"/>
      <c r="K379" s="1083"/>
      <c r="L379" s="932"/>
    </row>
    <row r="380" spans="1:12" s="106" customFormat="1" ht="15.75" hidden="1" customHeight="1" outlineLevel="1">
      <c r="A380" s="932"/>
      <c r="B380" s="1086"/>
      <c r="C380" s="1095"/>
      <c r="D380" s="1091"/>
      <c r="E380" s="1091"/>
      <c r="F380" s="1093"/>
      <c r="G380" s="98"/>
      <c r="H380" s="93"/>
      <c r="I380" s="1091"/>
      <c r="J380" s="1084"/>
      <c r="K380" s="1084"/>
      <c r="L380" s="932"/>
    </row>
    <row r="381" spans="1:12" s="106" customFormat="1" ht="15.75" hidden="1" customHeight="1" outlineLevel="1">
      <c r="A381" s="932"/>
      <c r="B381" s="1087"/>
      <c r="C381" s="1096"/>
      <c r="D381" s="1092"/>
      <c r="E381" s="1092"/>
      <c r="F381" s="1094"/>
      <c r="G381" s="103"/>
      <c r="H381" s="101"/>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93"/>
      <c r="I382" s="1091"/>
      <c r="J382" s="1083"/>
      <c r="K382" s="1083"/>
      <c r="L382" s="932"/>
    </row>
    <row r="383" spans="1:12" s="106" customFormat="1" ht="15.75" hidden="1" customHeight="1" outlineLevel="1">
      <c r="A383" s="932"/>
      <c r="B383" s="1086"/>
      <c r="C383" s="1095"/>
      <c r="D383" s="1091"/>
      <c r="E383" s="1091"/>
      <c r="F383" s="1093"/>
      <c r="G383" s="98"/>
      <c r="H383" s="93"/>
      <c r="I383" s="1091"/>
      <c r="J383" s="1084"/>
      <c r="K383" s="1084"/>
      <c r="L383" s="932"/>
    </row>
    <row r="384" spans="1:12" s="106" customFormat="1" ht="15.75" hidden="1" customHeight="1" outlineLevel="1">
      <c r="A384" s="932"/>
      <c r="B384" s="1087"/>
      <c r="C384" s="1096"/>
      <c r="D384" s="1092"/>
      <c r="E384" s="1092"/>
      <c r="F384" s="1094"/>
      <c r="G384" s="103"/>
      <c r="H384" s="101"/>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93"/>
      <c r="I385" s="1091"/>
      <c r="J385" s="1083"/>
      <c r="K385" s="1083"/>
      <c r="L385" s="932"/>
    </row>
    <row r="386" spans="1:12" s="106" customFormat="1" ht="15.75" hidden="1" customHeight="1" outlineLevel="1">
      <c r="A386" s="932"/>
      <c r="B386" s="1086"/>
      <c r="C386" s="1095"/>
      <c r="D386" s="1091"/>
      <c r="E386" s="1091"/>
      <c r="F386" s="1093"/>
      <c r="G386" s="98"/>
      <c r="H386" s="93"/>
      <c r="I386" s="1091"/>
      <c r="J386" s="1084"/>
      <c r="K386" s="1084"/>
      <c r="L386" s="932"/>
    </row>
    <row r="387" spans="1:12" s="106" customFormat="1" ht="15.75" hidden="1" customHeight="1" outlineLevel="1">
      <c r="A387" s="932"/>
      <c r="B387" s="1087"/>
      <c r="C387" s="1096"/>
      <c r="D387" s="1092"/>
      <c r="E387" s="1092"/>
      <c r="F387" s="1094"/>
      <c r="G387" s="103"/>
      <c r="H387" s="101"/>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93"/>
      <c r="I388" s="1091"/>
      <c r="J388" s="1083"/>
      <c r="K388" s="1083"/>
      <c r="L388" s="932"/>
    </row>
    <row r="389" spans="1:12" s="106" customFormat="1" ht="15.75" hidden="1" customHeight="1" outlineLevel="1">
      <c r="A389" s="932"/>
      <c r="B389" s="1086"/>
      <c r="C389" s="1095"/>
      <c r="D389" s="1091"/>
      <c r="E389" s="1091"/>
      <c r="F389" s="1093"/>
      <c r="G389" s="98"/>
      <c r="H389" s="93"/>
      <c r="I389" s="1091"/>
      <c r="J389" s="1084"/>
      <c r="K389" s="1084"/>
      <c r="L389" s="932"/>
    </row>
    <row r="390" spans="1:12" s="106" customFormat="1" ht="15.75" hidden="1" customHeight="1" outlineLevel="1">
      <c r="A390" s="932"/>
      <c r="B390" s="1087"/>
      <c r="C390" s="1096"/>
      <c r="D390" s="1092"/>
      <c r="E390" s="1092"/>
      <c r="F390" s="1094"/>
      <c r="G390" s="103"/>
      <c r="H390" s="101"/>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93"/>
      <c r="I391" s="1091"/>
      <c r="J391" s="1083"/>
      <c r="K391" s="1083"/>
      <c r="L391" s="932"/>
    </row>
    <row r="392" spans="1:12" s="106" customFormat="1" ht="15.75" hidden="1" customHeight="1" outlineLevel="1">
      <c r="A392" s="932"/>
      <c r="B392" s="1086"/>
      <c r="C392" s="1095"/>
      <c r="D392" s="1091"/>
      <c r="E392" s="1091"/>
      <c r="F392" s="1093"/>
      <c r="G392" s="98"/>
      <c r="H392" s="93"/>
      <c r="I392" s="1091"/>
      <c r="J392" s="1084"/>
      <c r="K392" s="1084"/>
      <c r="L392" s="932"/>
    </row>
    <row r="393" spans="1:12" s="106" customFormat="1" ht="15.75" hidden="1" customHeight="1" outlineLevel="1">
      <c r="A393" s="932"/>
      <c r="B393" s="1087"/>
      <c r="C393" s="1096"/>
      <c r="D393" s="1092"/>
      <c r="E393" s="1092"/>
      <c r="F393" s="1094"/>
      <c r="G393" s="103"/>
      <c r="H393" s="101"/>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93"/>
      <c r="I394" s="1091"/>
      <c r="J394" s="1083"/>
      <c r="K394" s="1083"/>
      <c r="L394" s="932"/>
    </row>
    <row r="395" spans="1:12" s="106" customFormat="1" ht="15.75" hidden="1" customHeight="1" outlineLevel="1">
      <c r="A395" s="932"/>
      <c r="B395" s="1086"/>
      <c r="C395" s="1095"/>
      <c r="D395" s="1091"/>
      <c r="E395" s="1091"/>
      <c r="F395" s="1093"/>
      <c r="G395" s="98"/>
      <c r="H395" s="93"/>
      <c r="I395" s="1091"/>
      <c r="J395" s="1084"/>
      <c r="K395" s="1084"/>
      <c r="L395" s="932"/>
    </row>
    <row r="396" spans="1:12" s="106" customFormat="1" ht="15.75" hidden="1" customHeight="1" outlineLevel="1">
      <c r="A396" s="932"/>
      <c r="B396" s="1087"/>
      <c r="C396" s="1096"/>
      <c r="D396" s="1092"/>
      <c r="E396" s="1092"/>
      <c r="F396" s="1094"/>
      <c r="G396" s="103"/>
      <c r="H396" s="101"/>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93"/>
      <c r="I397" s="1091"/>
      <c r="J397" s="1083"/>
      <c r="K397" s="1083"/>
      <c r="L397" s="932"/>
    </row>
    <row r="398" spans="1:12" s="106" customFormat="1" ht="15.75" hidden="1" customHeight="1" outlineLevel="1">
      <c r="A398" s="932"/>
      <c r="B398" s="1086"/>
      <c r="C398" s="1095"/>
      <c r="D398" s="1091"/>
      <c r="E398" s="1091"/>
      <c r="F398" s="1093"/>
      <c r="G398" s="98"/>
      <c r="H398" s="93"/>
      <c r="I398" s="1091"/>
      <c r="J398" s="1084"/>
      <c r="K398" s="1084"/>
      <c r="L398" s="932"/>
    </row>
    <row r="399" spans="1:12" s="106" customFormat="1" ht="15.75" hidden="1" customHeight="1" outlineLevel="1">
      <c r="A399" s="932"/>
      <c r="B399" s="1087"/>
      <c r="C399" s="1096"/>
      <c r="D399" s="1092"/>
      <c r="E399" s="1092"/>
      <c r="F399" s="1094"/>
      <c r="G399" s="103"/>
      <c r="H399" s="101"/>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93"/>
      <c r="I400" s="1091"/>
      <c r="J400" s="1083"/>
      <c r="K400" s="1083"/>
      <c r="L400" s="932"/>
    </row>
    <row r="401" spans="1:12" s="106" customFormat="1" ht="15.75" hidden="1" customHeight="1" outlineLevel="1">
      <c r="A401" s="932"/>
      <c r="B401" s="1086"/>
      <c r="C401" s="1095"/>
      <c r="D401" s="1091"/>
      <c r="E401" s="1091"/>
      <c r="F401" s="1093"/>
      <c r="G401" s="98"/>
      <c r="H401" s="93"/>
      <c r="I401" s="1091"/>
      <c r="J401" s="1084"/>
      <c r="K401" s="1084"/>
      <c r="L401" s="932"/>
    </row>
    <row r="402" spans="1:12" s="106" customFormat="1" ht="15.75" hidden="1" customHeight="1" outlineLevel="1">
      <c r="A402" s="932"/>
      <c r="B402" s="1087"/>
      <c r="C402" s="1096"/>
      <c r="D402" s="1092"/>
      <c r="E402" s="1092"/>
      <c r="F402" s="1094"/>
      <c r="G402" s="103"/>
      <c r="H402" s="101"/>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93"/>
      <c r="I403" s="1091"/>
      <c r="J403" s="1083"/>
      <c r="K403" s="1083"/>
      <c r="L403" s="932"/>
    </row>
    <row r="404" spans="1:12" s="106" customFormat="1" ht="15.75" hidden="1" customHeight="1" outlineLevel="1">
      <c r="A404" s="932"/>
      <c r="B404" s="1086"/>
      <c r="C404" s="1095"/>
      <c r="D404" s="1091"/>
      <c r="E404" s="1091"/>
      <c r="F404" s="1093"/>
      <c r="G404" s="98"/>
      <c r="H404" s="93"/>
      <c r="I404" s="1091"/>
      <c r="J404" s="1084"/>
      <c r="K404" s="1084"/>
      <c r="L404" s="932"/>
    </row>
    <row r="405" spans="1:12" s="106" customFormat="1" ht="15.75" hidden="1" customHeight="1" outlineLevel="1">
      <c r="A405" s="932"/>
      <c r="B405" s="1087"/>
      <c r="C405" s="1096"/>
      <c r="D405" s="1092"/>
      <c r="E405" s="1092"/>
      <c r="F405" s="1094"/>
      <c r="G405" s="103"/>
      <c r="H405" s="101"/>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93"/>
      <c r="I406" s="1091"/>
      <c r="J406" s="1083"/>
      <c r="K406" s="1083"/>
      <c r="L406" s="932"/>
    </row>
    <row r="407" spans="1:12" s="106" customFormat="1" ht="15.75" hidden="1" customHeight="1" outlineLevel="1">
      <c r="A407" s="932"/>
      <c r="B407" s="1086"/>
      <c r="C407" s="1095"/>
      <c r="D407" s="1091"/>
      <c r="E407" s="1091"/>
      <c r="F407" s="1093"/>
      <c r="G407" s="98"/>
      <c r="H407" s="93"/>
      <c r="I407" s="1091"/>
      <c r="J407" s="1084"/>
      <c r="K407" s="1084"/>
      <c r="L407" s="932"/>
    </row>
    <row r="408" spans="1:12" s="106" customFormat="1" ht="15.75" hidden="1" customHeight="1" outlineLevel="1">
      <c r="A408" s="932"/>
      <c r="B408" s="1087"/>
      <c r="C408" s="1096"/>
      <c r="D408" s="1092"/>
      <c r="E408" s="1092"/>
      <c r="F408" s="1094"/>
      <c r="G408" s="103"/>
      <c r="H408" s="101"/>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93"/>
      <c r="I409" s="1091"/>
      <c r="J409" s="1083"/>
      <c r="K409" s="1083"/>
      <c r="L409" s="932"/>
    </row>
    <row r="410" spans="1:12" s="106" customFormat="1" ht="15.75" hidden="1" customHeight="1" outlineLevel="1">
      <c r="A410" s="932"/>
      <c r="B410" s="1086"/>
      <c r="C410" s="1095"/>
      <c r="D410" s="1091"/>
      <c r="E410" s="1091"/>
      <c r="F410" s="1093"/>
      <c r="G410" s="98"/>
      <c r="H410" s="93"/>
      <c r="I410" s="1091"/>
      <c r="J410" s="1084"/>
      <c r="K410" s="1084"/>
      <c r="L410" s="932"/>
    </row>
    <row r="411" spans="1:12" s="106" customFormat="1" ht="15.75" hidden="1" customHeight="1" outlineLevel="1">
      <c r="A411" s="932"/>
      <c r="B411" s="1087"/>
      <c r="C411" s="1096"/>
      <c r="D411" s="1092"/>
      <c r="E411" s="1092"/>
      <c r="F411" s="1094"/>
      <c r="G411" s="103"/>
      <c r="H411" s="101"/>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93"/>
      <c r="I412" s="1091"/>
      <c r="J412" s="1083"/>
      <c r="K412" s="1083"/>
      <c r="L412" s="932"/>
    </row>
    <row r="413" spans="1:12" s="106" customFormat="1" ht="15.75" hidden="1" customHeight="1" outlineLevel="1">
      <c r="A413" s="932"/>
      <c r="B413" s="1086"/>
      <c r="C413" s="1095"/>
      <c r="D413" s="1091"/>
      <c r="E413" s="1091"/>
      <c r="F413" s="1093"/>
      <c r="G413" s="98"/>
      <c r="H413" s="93"/>
      <c r="I413" s="1091"/>
      <c r="J413" s="1084"/>
      <c r="K413" s="1084"/>
      <c r="L413" s="932"/>
    </row>
    <row r="414" spans="1:12" s="106" customFormat="1" ht="15.75" hidden="1" customHeight="1" outlineLevel="1">
      <c r="A414" s="932"/>
      <c r="B414" s="1087"/>
      <c r="C414" s="1096"/>
      <c r="D414" s="1092"/>
      <c r="E414" s="1092"/>
      <c r="F414" s="1094"/>
      <c r="G414" s="103"/>
      <c r="H414" s="101"/>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93"/>
      <c r="I415" s="1091"/>
      <c r="J415" s="1083"/>
      <c r="K415" s="1083"/>
      <c r="L415" s="932"/>
    </row>
    <row r="416" spans="1:12" s="106" customFormat="1" ht="15.75" hidden="1" customHeight="1" outlineLevel="1">
      <c r="A416" s="932"/>
      <c r="B416" s="1086"/>
      <c r="C416" s="1095"/>
      <c r="D416" s="1091"/>
      <c r="E416" s="1091"/>
      <c r="F416" s="1093"/>
      <c r="G416" s="98"/>
      <c r="H416" s="93"/>
      <c r="I416" s="1091"/>
      <c r="J416" s="1084"/>
      <c r="K416" s="1084"/>
      <c r="L416" s="932"/>
    </row>
    <row r="417" spans="1:12" s="106" customFormat="1" ht="15.75" hidden="1" customHeight="1" outlineLevel="1">
      <c r="A417" s="932"/>
      <c r="B417" s="1087"/>
      <c r="C417" s="1096"/>
      <c r="D417" s="1092"/>
      <c r="E417" s="1092"/>
      <c r="F417" s="1094"/>
      <c r="G417" s="103"/>
      <c r="H417" s="101"/>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93"/>
      <c r="I418" s="1091"/>
      <c r="J418" s="1083"/>
      <c r="K418" s="1083"/>
      <c r="L418" s="932"/>
    </row>
    <row r="419" spans="1:12" s="106" customFormat="1" ht="15.75" hidden="1" customHeight="1" outlineLevel="1">
      <c r="A419" s="932"/>
      <c r="B419" s="1086"/>
      <c r="C419" s="1095"/>
      <c r="D419" s="1091"/>
      <c r="E419" s="1091"/>
      <c r="F419" s="1093"/>
      <c r="G419" s="98"/>
      <c r="H419" s="93"/>
      <c r="I419" s="1091"/>
      <c r="J419" s="1084"/>
      <c r="K419" s="1084"/>
      <c r="L419" s="932"/>
    </row>
    <row r="420" spans="1:12" s="106" customFormat="1" ht="15.75" hidden="1" customHeight="1" outlineLevel="1">
      <c r="A420" s="932"/>
      <c r="B420" s="1087"/>
      <c r="C420" s="1096"/>
      <c r="D420" s="1092"/>
      <c r="E420" s="1092"/>
      <c r="F420" s="1094"/>
      <c r="G420" s="103"/>
      <c r="H420" s="101"/>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93"/>
      <c r="I421" s="1091"/>
      <c r="J421" s="1083"/>
      <c r="K421" s="1083"/>
      <c r="L421" s="932"/>
    </row>
    <row r="422" spans="1:12" s="106" customFormat="1" ht="15.75" hidden="1" customHeight="1" outlineLevel="1">
      <c r="A422" s="932"/>
      <c r="B422" s="1086"/>
      <c r="C422" s="1095"/>
      <c r="D422" s="1091"/>
      <c r="E422" s="1091"/>
      <c r="F422" s="1093"/>
      <c r="G422" s="98"/>
      <c r="H422" s="93"/>
      <c r="I422" s="1091"/>
      <c r="J422" s="1084"/>
      <c r="K422" s="1084"/>
      <c r="L422" s="932"/>
    </row>
    <row r="423" spans="1:12" s="106" customFormat="1" ht="15.75" hidden="1" customHeight="1" outlineLevel="1">
      <c r="A423" s="932"/>
      <c r="B423" s="1087"/>
      <c r="C423" s="1096"/>
      <c r="D423" s="1092"/>
      <c r="E423" s="1092"/>
      <c r="F423" s="1094"/>
      <c r="G423" s="103"/>
      <c r="H423" s="101"/>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93"/>
      <c r="I424" s="1091"/>
      <c r="J424" s="1083"/>
      <c r="K424" s="1083"/>
      <c r="L424" s="932"/>
    </row>
    <row r="425" spans="1:12" s="106" customFormat="1" ht="15.75" hidden="1" customHeight="1" outlineLevel="1">
      <c r="A425" s="932"/>
      <c r="B425" s="1086"/>
      <c r="C425" s="1095"/>
      <c r="D425" s="1091"/>
      <c r="E425" s="1091"/>
      <c r="F425" s="1093"/>
      <c r="G425" s="98"/>
      <c r="H425" s="93"/>
      <c r="I425" s="1091"/>
      <c r="J425" s="1084"/>
      <c r="K425" s="1084"/>
      <c r="L425" s="932"/>
    </row>
    <row r="426" spans="1:12" s="106" customFormat="1" ht="15.75" hidden="1" customHeight="1" outlineLevel="1">
      <c r="A426" s="932"/>
      <c r="B426" s="1087"/>
      <c r="C426" s="1096"/>
      <c r="D426" s="1092"/>
      <c r="E426" s="1092"/>
      <c r="F426" s="1094"/>
      <c r="G426" s="103"/>
      <c r="H426" s="101"/>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93"/>
      <c r="I427" s="1091"/>
      <c r="J427" s="1083"/>
      <c r="K427" s="1083"/>
      <c r="L427" s="932"/>
    </row>
    <row r="428" spans="1:12" s="106" customFormat="1" ht="15.75" hidden="1" customHeight="1" outlineLevel="1">
      <c r="A428" s="932"/>
      <c r="B428" s="1086"/>
      <c r="C428" s="1095"/>
      <c r="D428" s="1091"/>
      <c r="E428" s="1091"/>
      <c r="F428" s="1093"/>
      <c r="G428" s="98"/>
      <c r="H428" s="93"/>
      <c r="I428" s="1091"/>
      <c r="J428" s="1084"/>
      <c r="K428" s="1084"/>
      <c r="L428" s="932"/>
    </row>
    <row r="429" spans="1:12" s="106" customFormat="1" ht="15.75" hidden="1" customHeight="1" outlineLevel="1">
      <c r="A429" s="932"/>
      <c r="B429" s="1087"/>
      <c r="C429" s="1096"/>
      <c r="D429" s="1092"/>
      <c r="E429" s="1092"/>
      <c r="F429" s="1094"/>
      <c r="G429" s="103"/>
      <c r="H429" s="101"/>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93"/>
      <c r="I430" s="1091"/>
      <c r="J430" s="1083"/>
      <c r="K430" s="1083"/>
      <c r="L430" s="932"/>
    </row>
    <row r="431" spans="1:12" s="106" customFormat="1" ht="15.75" hidden="1" customHeight="1" outlineLevel="1">
      <c r="A431" s="932"/>
      <c r="B431" s="1086"/>
      <c r="C431" s="1095"/>
      <c r="D431" s="1091"/>
      <c r="E431" s="1091"/>
      <c r="F431" s="1093"/>
      <c r="G431" s="98"/>
      <c r="H431" s="93"/>
      <c r="I431" s="1091"/>
      <c r="J431" s="1084"/>
      <c r="K431" s="1084"/>
      <c r="L431" s="932"/>
    </row>
    <row r="432" spans="1:12" s="106" customFormat="1" ht="15.75" hidden="1" customHeight="1" outlineLevel="1">
      <c r="A432" s="932"/>
      <c r="B432" s="1087"/>
      <c r="C432" s="1096"/>
      <c r="D432" s="1092"/>
      <c r="E432" s="1092"/>
      <c r="F432" s="1094"/>
      <c r="G432" s="103"/>
      <c r="H432" s="101"/>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93"/>
      <c r="I433" s="1091"/>
      <c r="J433" s="1083"/>
      <c r="K433" s="1083"/>
      <c r="L433" s="932"/>
    </row>
    <row r="434" spans="1:12" s="106" customFormat="1" ht="15.75" hidden="1" customHeight="1" outlineLevel="1">
      <c r="A434" s="932"/>
      <c r="B434" s="1086"/>
      <c r="C434" s="1095"/>
      <c r="D434" s="1091"/>
      <c r="E434" s="1091"/>
      <c r="F434" s="1093"/>
      <c r="G434" s="98"/>
      <c r="H434" s="93"/>
      <c r="I434" s="1091"/>
      <c r="J434" s="1084"/>
      <c r="K434" s="1084"/>
      <c r="L434" s="932"/>
    </row>
    <row r="435" spans="1:12" s="106" customFormat="1" ht="15.75" hidden="1" customHeight="1" outlineLevel="1">
      <c r="A435" s="932"/>
      <c r="B435" s="1087"/>
      <c r="C435" s="1096"/>
      <c r="D435" s="1092"/>
      <c r="E435" s="1092"/>
      <c r="F435" s="1094"/>
      <c r="G435" s="103"/>
      <c r="H435" s="101"/>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93"/>
      <c r="I436" s="1091"/>
      <c r="J436" s="1083"/>
      <c r="K436" s="1083"/>
      <c r="L436" s="932"/>
    </row>
    <row r="437" spans="1:12" s="106" customFormat="1" ht="15.75" hidden="1" customHeight="1" outlineLevel="1">
      <c r="A437" s="932"/>
      <c r="B437" s="1086"/>
      <c r="C437" s="1095"/>
      <c r="D437" s="1091"/>
      <c r="E437" s="1091"/>
      <c r="F437" s="1093"/>
      <c r="G437" s="98"/>
      <c r="H437" s="93"/>
      <c r="I437" s="1091"/>
      <c r="J437" s="1084"/>
      <c r="K437" s="1084"/>
      <c r="L437" s="932"/>
    </row>
    <row r="438" spans="1:12" s="106" customFormat="1" ht="15.75" hidden="1" customHeight="1" outlineLevel="1">
      <c r="A438" s="932"/>
      <c r="B438" s="1087"/>
      <c r="C438" s="1096"/>
      <c r="D438" s="1092"/>
      <c r="E438" s="1092"/>
      <c r="F438" s="1094"/>
      <c r="G438" s="103"/>
      <c r="H438" s="101"/>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93"/>
      <c r="I439" s="1091"/>
      <c r="J439" s="1083"/>
      <c r="K439" s="1083"/>
      <c r="L439" s="932"/>
    </row>
    <row r="440" spans="1:12" s="106" customFormat="1" ht="15.75" hidden="1" customHeight="1" outlineLevel="1">
      <c r="A440" s="932"/>
      <c r="B440" s="1086"/>
      <c r="C440" s="1095"/>
      <c r="D440" s="1091"/>
      <c r="E440" s="1091"/>
      <c r="F440" s="1093"/>
      <c r="G440" s="98"/>
      <c r="H440" s="93"/>
      <c r="I440" s="1091"/>
      <c r="J440" s="1084"/>
      <c r="K440" s="1084"/>
      <c r="L440" s="932"/>
    </row>
    <row r="441" spans="1:12" s="106" customFormat="1" ht="15.75" hidden="1" customHeight="1" outlineLevel="1">
      <c r="A441" s="932"/>
      <c r="B441" s="1087"/>
      <c r="C441" s="1096"/>
      <c r="D441" s="1092"/>
      <c r="E441" s="1092"/>
      <c r="F441" s="1094"/>
      <c r="G441" s="103"/>
      <c r="H441" s="101"/>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93"/>
      <c r="I442" s="1091"/>
      <c r="J442" s="1083"/>
      <c r="K442" s="1083"/>
      <c r="L442" s="932"/>
    </row>
    <row r="443" spans="1:12" s="106" customFormat="1" ht="15.75" hidden="1" customHeight="1" outlineLevel="1">
      <c r="A443" s="932"/>
      <c r="B443" s="1086"/>
      <c r="C443" s="1095"/>
      <c r="D443" s="1091"/>
      <c r="E443" s="1091"/>
      <c r="F443" s="1093"/>
      <c r="G443" s="98"/>
      <c r="H443" s="93"/>
      <c r="I443" s="1091"/>
      <c r="J443" s="1084"/>
      <c r="K443" s="1084"/>
      <c r="L443" s="932"/>
    </row>
    <row r="444" spans="1:12" s="106" customFormat="1" ht="15.75" hidden="1" customHeight="1" outlineLevel="1">
      <c r="A444" s="932"/>
      <c r="B444" s="1087"/>
      <c r="C444" s="1096"/>
      <c r="D444" s="1092"/>
      <c r="E444" s="1092"/>
      <c r="F444" s="1094"/>
      <c r="G444" s="103"/>
      <c r="H444" s="101"/>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93"/>
      <c r="I445" s="1091"/>
      <c r="J445" s="1083"/>
      <c r="K445" s="1083"/>
      <c r="L445" s="932"/>
    </row>
    <row r="446" spans="1:12" s="106" customFormat="1" ht="15.75" hidden="1" customHeight="1" outlineLevel="1">
      <c r="A446" s="932"/>
      <c r="B446" s="1086"/>
      <c r="C446" s="1095"/>
      <c r="D446" s="1091"/>
      <c r="E446" s="1091"/>
      <c r="F446" s="1093"/>
      <c r="G446" s="98"/>
      <c r="H446" s="93"/>
      <c r="I446" s="1091"/>
      <c r="J446" s="1084"/>
      <c r="K446" s="1084"/>
      <c r="L446" s="932"/>
    </row>
    <row r="447" spans="1:12" s="106" customFormat="1" ht="15.75" hidden="1" customHeight="1" outlineLevel="1">
      <c r="A447" s="932"/>
      <c r="B447" s="1087"/>
      <c r="C447" s="1096"/>
      <c r="D447" s="1092"/>
      <c r="E447" s="1092"/>
      <c r="F447" s="1094"/>
      <c r="G447" s="103"/>
      <c r="H447" s="101"/>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93"/>
      <c r="I448" s="1091"/>
      <c r="J448" s="1083"/>
      <c r="K448" s="1083"/>
      <c r="L448" s="932"/>
    </row>
    <row r="449" spans="1:12" s="106" customFormat="1" ht="15.75" hidden="1" customHeight="1" outlineLevel="1">
      <c r="A449" s="932"/>
      <c r="B449" s="1086"/>
      <c r="C449" s="1095"/>
      <c r="D449" s="1091"/>
      <c r="E449" s="1091"/>
      <c r="F449" s="1093"/>
      <c r="G449" s="98"/>
      <c r="H449" s="93"/>
      <c r="I449" s="1091"/>
      <c r="J449" s="1084"/>
      <c r="K449" s="1084"/>
      <c r="L449" s="932"/>
    </row>
    <row r="450" spans="1:12" s="106" customFormat="1" ht="15.75" hidden="1" customHeight="1" outlineLevel="1">
      <c r="A450" s="932"/>
      <c r="B450" s="1087"/>
      <c r="C450" s="1096"/>
      <c r="D450" s="1092"/>
      <c r="E450" s="1092"/>
      <c r="F450" s="1094"/>
      <c r="G450" s="103"/>
      <c r="H450" s="101"/>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93"/>
      <c r="I451" s="1091"/>
      <c r="J451" s="1083"/>
      <c r="K451" s="1083"/>
      <c r="L451" s="932"/>
    </row>
    <row r="452" spans="1:12" s="106" customFormat="1" ht="15.75" hidden="1" customHeight="1" outlineLevel="1">
      <c r="A452" s="932"/>
      <c r="B452" s="1086"/>
      <c r="C452" s="1095"/>
      <c r="D452" s="1091"/>
      <c r="E452" s="1091"/>
      <c r="F452" s="1093"/>
      <c r="G452" s="98"/>
      <c r="H452" s="93"/>
      <c r="I452" s="1091"/>
      <c r="J452" s="1084"/>
      <c r="K452" s="1084"/>
      <c r="L452" s="932"/>
    </row>
    <row r="453" spans="1:12" s="106" customFormat="1" ht="15.75" hidden="1" customHeight="1" outlineLevel="1">
      <c r="A453" s="932"/>
      <c r="B453" s="1087"/>
      <c r="C453" s="1096"/>
      <c r="D453" s="1092"/>
      <c r="E453" s="1092"/>
      <c r="F453" s="1094"/>
      <c r="G453" s="103"/>
      <c r="H453" s="101"/>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93"/>
      <c r="I454" s="1091"/>
      <c r="J454" s="1083"/>
      <c r="K454" s="1083"/>
      <c r="L454" s="932"/>
    </row>
    <row r="455" spans="1:12" s="106" customFormat="1" ht="15.75" hidden="1" customHeight="1" outlineLevel="1">
      <c r="A455" s="932"/>
      <c r="B455" s="1086"/>
      <c r="C455" s="1095"/>
      <c r="D455" s="1091"/>
      <c r="E455" s="1091"/>
      <c r="F455" s="1093"/>
      <c r="G455" s="98"/>
      <c r="H455" s="93"/>
      <c r="I455" s="1091"/>
      <c r="J455" s="1084"/>
      <c r="K455" s="1084"/>
      <c r="L455" s="932"/>
    </row>
    <row r="456" spans="1:12" s="106" customFormat="1" ht="15.75" hidden="1" customHeight="1" outlineLevel="1">
      <c r="A456" s="932"/>
      <c r="B456" s="1087"/>
      <c r="C456" s="1096"/>
      <c r="D456" s="1092"/>
      <c r="E456" s="1092"/>
      <c r="F456" s="1094"/>
      <c r="G456" s="103"/>
      <c r="H456" s="101"/>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93"/>
      <c r="I457" s="1091"/>
      <c r="J457" s="1083"/>
      <c r="K457" s="1083"/>
      <c r="L457" s="932"/>
    </row>
    <row r="458" spans="1:12" s="106" customFormat="1" ht="15.75" hidden="1" customHeight="1" outlineLevel="1">
      <c r="A458" s="932"/>
      <c r="B458" s="1086"/>
      <c r="C458" s="1095"/>
      <c r="D458" s="1091"/>
      <c r="E458" s="1091"/>
      <c r="F458" s="1093"/>
      <c r="G458" s="98"/>
      <c r="H458" s="93"/>
      <c r="I458" s="1091"/>
      <c r="J458" s="1084"/>
      <c r="K458" s="1084"/>
      <c r="L458" s="932"/>
    </row>
    <row r="459" spans="1:12" s="106" customFormat="1" ht="15.75" hidden="1" customHeight="1" outlineLevel="1">
      <c r="A459" s="932"/>
      <c r="B459" s="1087"/>
      <c r="C459" s="1096"/>
      <c r="D459" s="1092"/>
      <c r="E459" s="1092"/>
      <c r="F459" s="1094"/>
      <c r="G459" s="103"/>
      <c r="H459" s="101"/>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93"/>
      <c r="I460" s="1091"/>
      <c r="J460" s="1083"/>
      <c r="K460" s="1083"/>
      <c r="L460" s="932"/>
    </row>
    <row r="461" spans="1:12" s="106" customFormat="1" ht="15.75" hidden="1" customHeight="1" outlineLevel="1">
      <c r="A461" s="932"/>
      <c r="B461" s="1086"/>
      <c r="C461" s="1095"/>
      <c r="D461" s="1091"/>
      <c r="E461" s="1091"/>
      <c r="F461" s="1093"/>
      <c r="G461" s="98"/>
      <c r="H461" s="93"/>
      <c r="I461" s="1091"/>
      <c r="J461" s="1084"/>
      <c r="K461" s="1084"/>
      <c r="L461" s="932"/>
    </row>
    <row r="462" spans="1:12" s="106" customFormat="1" ht="15.75" hidden="1" customHeight="1" outlineLevel="1">
      <c r="A462" s="932"/>
      <c r="B462" s="1087"/>
      <c r="C462" s="1096"/>
      <c r="D462" s="1092"/>
      <c r="E462" s="1092"/>
      <c r="F462" s="1094"/>
      <c r="G462" s="103"/>
      <c r="H462" s="101"/>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93"/>
      <c r="I463" s="1091"/>
      <c r="J463" s="1083"/>
      <c r="K463" s="1083"/>
      <c r="L463" s="932"/>
    </row>
    <row r="464" spans="1:12" s="106" customFormat="1" ht="15.75" hidden="1" customHeight="1" outlineLevel="1">
      <c r="A464" s="932"/>
      <c r="B464" s="1086"/>
      <c r="C464" s="1095"/>
      <c r="D464" s="1091"/>
      <c r="E464" s="1091"/>
      <c r="F464" s="1093"/>
      <c r="G464" s="98"/>
      <c r="H464" s="93"/>
      <c r="I464" s="1091"/>
      <c r="J464" s="1084"/>
      <c r="K464" s="1084"/>
      <c r="L464" s="932"/>
    </row>
    <row r="465" spans="1:12" s="106" customFormat="1" ht="15.75" hidden="1" customHeight="1" outlineLevel="1">
      <c r="A465" s="932"/>
      <c r="B465" s="1087"/>
      <c r="C465" s="1096"/>
      <c r="D465" s="1092"/>
      <c r="E465" s="1092"/>
      <c r="F465" s="1094"/>
      <c r="G465" s="103"/>
      <c r="H465" s="101"/>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93"/>
      <c r="I466" s="1091"/>
      <c r="J466" s="1083"/>
      <c r="K466" s="1083"/>
      <c r="L466" s="932"/>
    </row>
    <row r="467" spans="1:12" s="106" customFormat="1" ht="15.75" hidden="1" customHeight="1" outlineLevel="1">
      <c r="A467" s="932"/>
      <c r="B467" s="1086"/>
      <c r="C467" s="1095"/>
      <c r="D467" s="1091"/>
      <c r="E467" s="1091"/>
      <c r="F467" s="1093"/>
      <c r="G467" s="98"/>
      <c r="H467" s="93"/>
      <c r="I467" s="1091"/>
      <c r="J467" s="1084"/>
      <c r="K467" s="1084"/>
      <c r="L467" s="932"/>
    </row>
    <row r="468" spans="1:12" s="106" customFormat="1" ht="15.75" hidden="1" customHeight="1" outlineLevel="1">
      <c r="A468" s="932"/>
      <c r="B468" s="1087"/>
      <c r="C468" s="1096"/>
      <c r="D468" s="1092"/>
      <c r="E468" s="1092"/>
      <c r="F468" s="1094"/>
      <c r="G468" s="103"/>
      <c r="H468" s="101"/>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93"/>
      <c r="I469" s="1091"/>
      <c r="J469" s="1083"/>
      <c r="K469" s="1083"/>
      <c r="L469" s="932"/>
    </row>
    <row r="470" spans="1:12" s="106" customFormat="1" ht="15.75" hidden="1" customHeight="1" outlineLevel="1">
      <c r="A470" s="932"/>
      <c r="B470" s="1086"/>
      <c r="C470" s="1095"/>
      <c r="D470" s="1091"/>
      <c r="E470" s="1091"/>
      <c r="F470" s="1093"/>
      <c r="G470" s="98"/>
      <c r="H470" s="93"/>
      <c r="I470" s="1091"/>
      <c r="J470" s="1084"/>
      <c r="K470" s="1084"/>
      <c r="L470" s="932"/>
    </row>
    <row r="471" spans="1:12" s="106" customFormat="1" ht="15.75" hidden="1" customHeight="1" outlineLevel="1">
      <c r="A471" s="932"/>
      <c r="B471" s="1087"/>
      <c r="C471" s="1096"/>
      <c r="D471" s="1092"/>
      <c r="E471" s="1092"/>
      <c r="F471" s="1094"/>
      <c r="G471" s="103"/>
      <c r="H471" s="101"/>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93"/>
      <c r="I472" s="1091"/>
      <c r="J472" s="1083"/>
      <c r="K472" s="1083"/>
      <c r="L472" s="932"/>
    </row>
    <row r="473" spans="1:12" s="106" customFormat="1" ht="15.75" hidden="1" customHeight="1" outlineLevel="1">
      <c r="A473" s="932"/>
      <c r="B473" s="1086"/>
      <c r="C473" s="1095"/>
      <c r="D473" s="1091"/>
      <c r="E473" s="1091"/>
      <c r="F473" s="1093"/>
      <c r="G473" s="98"/>
      <c r="H473" s="93"/>
      <c r="I473" s="1091"/>
      <c r="J473" s="1084"/>
      <c r="K473" s="1084"/>
      <c r="L473" s="932"/>
    </row>
    <row r="474" spans="1:12" s="106" customFormat="1" ht="15.75" hidden="1" customHeight="1" outlineLevel="1">
      <c r="A474" s="932"/>
      <c r="B474" s="1087"/>
      <c r="C474" s="1096"/>
      <c r="D474" s="1092"/>
      <c r="E474" s="1092"/>
      <c r="F474" s="1094"/>
      <c r="G474" s="103"/>
      <c r="H474" s="101"/>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93"/>
      <c r="I475" s="1091"/>
      <c r="J475" s="1083"/>
      <c r="K475" s="1083"/>
      <c r="L475" s="932"/>
    </row>
    <row r="476" spans="1:12" s="106" customFormat="1" ht="15.75" hidden="1" customHeight="1" outlineLevel="1">
      <c r="A476" s="932"/>
      <c r="B476" s="1086"/>
      <c r="C476" s="1095"/>
      <c r="D476" s="1091"/>
      <c r="E476" s="1091"/>
      <c r="F476" s="1093"/>
      <c r="G476" s="98"/>
      <c r="H476" s="93"/>
      <c r="I476" s="1091"/>
      <c r="J476" s="1084"/>
      <c r="K476" s="1084"/>
      <c r="L476" s="932"/>
    </row>
    <row r="477" spans="1:12" s="106" customFormat="1" ht="15.75" hidden="1" customHeight="1" outlineLevel="1">
      <c r="A477" s="932"/>
      <c r="B477" s="1087"/>
      <c r="C477" s="1096"/>
      <c r="D477" s="1092"/>
      <c r="E477" s="1092"/>
      <c r="F477" s="1094"/>
      <c r="G477" s="103"/>
      <c r="H477" s="101"/>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93"/>
      <c r="I478" s="1091"/>
      <c r="J478" s="1083"/>
      <c r="K478" s="1083"/>
      <c r="L478" s="932"/>
    </row>
    <row r="479" spans="1:12" s="106" customFormat="1" ht="15.75" hidden="1" customHeight="1" outlineLevel="1">
      <c r="A479" s="932"/>
      <c r="B479" s="1086"/>
      <c r="C479" s="1095"/>
      <c r="D479" s="1091"/>
      <c r="E479" s="1091"/>
      <c r="F479" s="1093"/>
      <c r="G479" s="98"/>
      <c r="H479" s="93"/>
      <c r="I479" s="1091"/>
      <c r="J479" s="1084"/>
      <c r="K479" s="1084"/>
      <c r="L479" s="932"/>
    </row>
    <row r="480" spans="1:12" s="106" customFormat="1" ht="15.75" hidden="1" customHeight="1" outlineLevel="1">
      <c r="A480" s="932"/>
      <c r="B480" s="1087"/>
      <c r="C480" s="1096"/>
      <c r="D480" s="1092"/>
      <c r="E480" s="1092"/>
      <c r="F480" s="1094"/>
      <c r="G480" s="103"/>
      <c r="H480" s="101"/>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93"/>
      <c r="I481" s="1091"/>
      <c r="J481" s="1083"/>
      <c r="K481" s="1083"/>
      <c r="L481" s="932"/>
    </row>
    <row r="482" spans="1:12" s="106" customFormat="1" ht="15.75" hidden="1" customHeight="1" outlineLevel="1">
      <c r="A482" s="932"/>
      <c r="B482" s="1086"/>
      <c r="C482" s="1095"/>
      <c r="D482" s="1091"/>
      <c r="E482" s="1091"/>
      <c r="F482" s="1093"/>
      <c r="G482" s="98"/>
      <c r="H482" s="93"/>
      <c r="I482" s="1091"/>
      <c r="J482" s="1084"/>
      <c r="K482" s="1084"/>
      <c r="L482" s="932"/>
    </row>
    <row r="483" spans="1:12" s="106" customFormat="1" ht="15.75" hidden="1" customHeight="1" outlineLevel="1">
      <c r="A483" s="932"/>
      <c r="B483" s="1087"/>
      <c r="C483" s="1096"/>
      <c r="D483" s="1092"/>
      <c r="E483" s="1092"/>
      <c r="F483" s="1094"/>
      <c r="G483" s="103"/>
      <c r="H483" s="101"/>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93"/>
      <c r="I484" s="1091"/>
      <c r="J484" s="1083"/>
      <c r="K484" s="1083"/>
      <c r="L484" s="932"/>
    </row>
    <row r="485" spans="1:12" s="106" customFormat="1" ht="15.75" hidden="1" customHeight="1" outlineLevel="1">
      <c r="A485" s="932"/>
      <c r="B485" s="1086"/>
      <c r="C485" s="1095"/>
      <c r="D485" s="1091"/>
      <c r="E485" s="1091"/>
      <c r="F485" s="1093"/>
      <c r="G485" s="98"/>
      <c r="H485" s="93"/>
      <c r="I485" s="1091"/>
      <c r="J485" s="1084"/>
      <c r="K485" s="1084"/>
      <c r="L485" s="932"/>
    </row>
    <row r="486" spans="1:12" s="106" customFormat="1" ht="15.75" hidden="1" customHeight="1" outlineLevel="1">
      <c r="A486" s="932"/>
      <c r="B486" s="1087"/>
      <c r="C486" s="1096"/>
      <c r="D486" s="1092"/>
      <c r="E486" s="1092"/>
      <c r="F486" s="1094"/>
      <c r="G486" s="103"/>
      <c r="H486" s="101"/>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93"/>
      <c r="I487" s="1091"/>
      <c r="J487" s="1083"/>
      <c r="K487" s="1083"/>
      <c r="L487" s="932"/>
    </row>
    <row r="488" spans="1:12" s="106" customFormat="1" ht="15.75" hidden="1" customHeight="1" outlineLevel="1">
      <c r="A488" s="932"/>
      <c r="B488" s="1086"/>
      <c r="C488" s="1095"/>
      <c r="D488" s="1091"/>
      <c r="E488" s="1091"/>
      <c r="F488" s="1093"/>
      <c r="G488" s="98"/>
      <c r="H488" s="93"/>
      <c r="I488" s="1091"/>
      <c r="J488" s="1084"/>
      <c r="K488" s="1084"/>
      <c r="L488" s="932"/>
    </row>
    <row r="489" spans="1:12" s="106" customFormat="1" ht="15.75" hidden="1" customHeight="1" outlineLevel="1">
      <c r="A489" s="932"/>
      <c r="B489" s="1087"/>
      <c r="C489" s="1096"/>
      <c r="D489" s="1092"/>
      <c r="E489" s="1092"/>
      <c r="F489" s="1094"/>
      <c r="G489" s="103"/>
      <c r="H489" s="101"/>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93"/>
      <c r="I490" s="1091"/>
      <c r="J490" s="1083"/>
      <c r="K490" s="1083"/>
      <c r="L490" s="932"/>
    </row>
    <row r="491" spans="1:12" s="106" customFormat="1" ht="15.75" hidden="1" customHeight="1" outlineLevel="1">
      <c r="A491" s="932"/>
      <c r="B491" s="1086"/>
      <c r="C491" s="1095"/>
      <c r="D491" s="1091"/>
      <c r="E491" s="1091"/>
      <c r="F491" s="1093"/>
      <c r="G491" s="98"/>
      <c r="H491" s="93"/>
      <c r="I491" s="1091"/>
      <c r="J491" s="1084"/>
      <c r="K491" s="1084"/>
      <c r="L491" s="932"/>
    </row>
    <row r="492" spans="1:12" s="106" customFormat="1" ht="15.75" hidden="1" customHeight="1" outlineLevel="1">
      <c r="A492" s="932"/>
      <c r="B492" s="1087"/>
      <c r="C492" s="1096"/>
      <c r="D492" s="1092"/>
      <c r="E492" s="1092"/>
      <c r="F492" s="1094"/>
      <c r="G492" s="103"/>
      <c r="H492" s="101"/>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93"/>
      <c r="I493" s="1091"/>
      <c r="J493" s="1083"/>
      <c r="K493" s="1083"/>
      <c r="L493" s="932"/>
    </row>
    <row r="494" spans="1:12" s="106" customFormat="1" ht="15.75" hidden="1" customHeight="1" outlineLevel="1">
      <c r="A494" s="932"/>
      <c r="B494" s="1086"/>
      <c r="C494" s="1095"/>
      <c r="D494" s="1091"/>
      <c r="E494" s="1091"/>
      <c r="F494" s="1093"/>
      <c r="G494" s="98"/>
      <c r="H494" s="93"/>
      <c r="I494" s="1091"/>
      <c r="J494" s="1084"/>
      <c r="K494" s="1084"/>
      <c r="L494" s="932"/>
    </row>
    <row r="495" spans="1:12" s="106" customFormat="1" ht="15.75" hidden="1" customHeight="1" outlineLevel="1">
      <c r="A495" s="932"/>
      <c r="B495" s="1087"/>
      <c r="C495" s="1096"/>
      <c r="D495" s="1092"/>
      <c r="E495" s="1092"/>
      <c r="F495" s="1094"/>
      <c r="G495" s="103"/>
      <c r="H495" s="101"/>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93"/>
      <c r="I496" s="1091"/>
      <c r="J496" s="1083"/>
      <c r="K496" s="1083"/>
      <c r="L496" s="932"/>
    </row>
    <row r="497" spans="1:12" s="106" customFormat="1" ht="15.75" hidden="1" customHeight="1" outlineLevel="1">
      <c r="A497" s="932"/>
      <c r="B497" s="1086"/>
      <c r="C497" s="1095"/>
      <c r="D497" s="1091"/>
      <c r="E497" s="1091"/>
      <c r="F497" s="1093"/>
      <c r="G497" s="98"/>
      <c r="H497" s="93"/>
      <c r="I497" s="1091"/>
      <c r="J497" s="1084"/>
      <c r="K497" s="1084"/>
      <c r="L497" s="932"/>
    </row>
    <row r="498" spans="1:12" s="106" customFormat="1" ht="15.75" hidden="1" customHeight="1" outlineLevel="1">
      <c r="A498" s="932"/>
      <c r="B498" s="1087"/>
      <c r="C498" s="1096"/>
      <c r="D498" s="1092"/>
      <c r="E498" s="1092"/>
      <c r="F498" s="1094"/>
      <c r="G498" s="103"/>
      <c r="H498" s="101"/>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93"/>
      <c r="I499" s="1091"/>
      <c r="J499" s="1083"/>
      <c r="K499" s="1083"/>
      <c r="L499" s="932"/>
    </row>
    <row r="500" spans="1:12" s="106" customFormat="1" ht="15.75" hidden="1" customHeight="1" outlineLevel="1">
      <c r="A500" s="932"/>
      <c r="B500" s="1086"/>
      <c r="C500" s="1095"/>
      <c r="D500" s="1091"/>
      <c r="E500" s="1091"/>
      <c r="F500" s="1093"/>
      <c r="G500" s="98"/>
      <c r="H500" s="93"/>
      <c r="I500" s="1091"/>
      <c r="J500" s="1084"/>
      <c r="K500" s="1084"/>
      <c r="L500" s="932"/>
    </row>
    <row r="501" spans="1:12" s="106" customFormat="1" ht="15.75" hidden="1" customHeight="1" outlineLevel="1">
      <c r="A501" s="932"/>
      <c r="B501" s="1087"/>
      <c r="C501" s="1096"/>
      <c r="D501" s="1092"/>
      <c r="E501" s="1092"/>
      <c r="F501" s="1094"/>
      <c r="G501" s="103"/>
      <c r="H501" s="101"/>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93"/>
      <c r="I502" s="1091"/>
      <c r="J502" s="1083"/>
      <c r="K502" s="1083"/>
      <c r="L502" s="932"/>
    </row>
    <row r="503" spans="1:12" s="106" customFormat="1" ht="15.75" hidden="1" customHeight="1" outlineLevel="1">
      <c r="A503" s="932"/>
      <c r="B503" s="1086"/>
      <c r="C503" s="1095"/>
      <c r="D503" s="1091"/>
      <c r="E503" s="1091"/>
      <c r="F503" s="1093"/>
      <c r="G503" s="98"/>
      <c r="H503" s="93"/>
      <c r="I503" s="1091"/>
      <c r="J503" s="1084"/>
      <c r="K503" s="1084"/>
      <c r="L503" s="932"/>
    </row>
    <row r="504" spans="1:12" s="106" customFormat="1" ht="15.75" hidden="1" customHeight="1" outlineLevel="1">
      <c r="A504" s="932"/>
      <c r="B504" s="1087"/>
      <c r="C504" s="1096"/>
      <c r="D504" s="1092"/>
      <c r="E504" s="1092"/>
      <c r="F504" s="1094"/>
      <c r="G504" s="103"/>
      <c r="H504" s="101"/>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93"/>
      <c r="I505" s="1091"/>
      <c r="J505" s="1083"/>
      <c r="K505" s="1083"/>
      <c r="L505" s="932"/>
    </row>
    <row r="506" spans="1:12" s="106" customFormat="1" ht="15.75" hidden="1" customHeight="1" outlineLevel="1">
      <c r="A506" s="932"/>
      <c r="B506" s="1086"/>
      <c r="C506" s="1095"/>
      <c r="D506" s="1091"/>
      <c r="E506" s="1091"/>
      <c r="F506" s="1093"/>
      <c r="G506" s="98"/>
      <c r="H506" s="93"/>
      <c r="I506" s="1091"/>
      <c r="J506" s="1084"/>
      <c r="K506" s="1084"/>
      <c r="L506" s="932"/>
    </row>
    <row r="507" spans="1:12" s="106" customFormat="1" ht="15.75" hidden="1" customHeight="1" outlineLevel="1">
      <c r="A507" s="932"/>
      <c r="B507" s="1087"/>
      <c r="C507" s="1096"/>
      <c r="D507" s="1092"/>
      <c r="E507" s="1092"/>
      <c r="F507" s="1094"/>
      <c r="G507" s="103"/>
      <c r="H507" s="101"/>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93"/>
      <c r="I508" s="1091"/>
      <c r="J508" s="1083"/>
      <c r="K508" s="1083"/>
      <c r="L508" s="932"/>
    </row>
    <row r="509" spans="1:12" s="106" customFormat="1" ht="15.75" hidden="1" customHeight="1" outlineLevel="1">
      <c r="A509" s="932"/>
      <c r="B509" s="1086"/>
      <c r="C509" s="1095"/>
      <c r="D509" s="1091"/>
      <c r="E509" s="1091"/>
      <c r="F509" s="1093"/>
      <c r="G509" s="98"/>
      <c r="H509" s="93"/>
      <c r="I509" s="1091"/>
      <c r="J509" s="1084"/>
      <c r="K509" s="1084"/>
      <c r="L509" s="932"/>
    </row>
    <row r="510" spans="1:12" s="106" customFormat="1" ht="15.75" hidden="1" customHeight="1" outlineLevel="1">
      <c r="A510" s="932"/>
      <c r="B510" s="1087"/>
      <c r="C510" s="1096"/>
      <c r="D510" s="1092"/>
      <c r="E510" s="1092"/>
      <c r="F510" s="1094"/>
      <c r="G510" s="103"/>
      <c r="H510" s="101"/>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93"/>
      <c r="I511" s="1091"/>
      <c r="J511" s="1083"/>
      <c r="K511" s="1083"/>
      <c r="L511" s="932"/>
    </row>
    <row r="512" spans="1:12" s="106" customFormat="1" ht="15.75" hidden="1" customHeight="1" outlineLevel="1">
      <c r="A512" s="932"/>
      <c r="B512" s="1086"/>
      <c r="C512" s="1095"/>
      <c r="D512" s="1091"/>
      <c r="E512" s="1091"/>
      <c r="F512" s="1093"/>
      <c r="G512" s="98"/>
      <c r="H512" s="93"/>
      <c r="I512" s="1091"/>
      <c r="J512" s="1084"/>
      <c r="K512" s="1084"/>
      <c r="L512" s="932"/>
    </row>
    <row r="513" spans="1:12" s="106" customFormat="1" ht="15.75" hidden="1" customHeight="1" outlineLevel="1">
      <c r="A513" s="932"/>
      <c r="B513" s="1087"/>
      <c r="C513" s="1096"/>
      <c r="D513" s="1092"/>
      <c r="E513" s="1092"/>
      <c r="F513" s="1094"/>
      <c r="G513" s="103"/>
      <c r="H513" s="101"/>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93"/>
      <c r="I514" s="1091"/>
      <c r="J514" s="1083"/>
      <c r="K514" s="1083"/>
      <c r="L514" s="932"/>
    </row>
    <row r="515" spans="1:12" s="106" customFormat="1" ht="15.75" hidden="1" customHeight="1" outlineLevel="1">
      <c r="A515" s="932"/>
      <c r="B515" s="1086"/>
      <c r="C515" s="1095"/>
      <c r="D515" s="1091"/>
      <c r="E515" s="1091"/>
      <c r="F515" s="1093"/>
      <c r="G515" s="98"/>
      <c r="H515" s="93"/>
      <c r="I515" s="1091"/>
      <c r="J515" s="1084"/>
      <c r="K515" s="1084"/>
      <c r="L515" s="932"/>
    </row>
    <row r="516" spans="1:12" s="106" customFormat="1" ht="15.75" hidden="1" customHeight="1" outlineLevel="1">
      <c r="A516" s="932"/>
      <c r="B516" s="1087"/>
      <c r="C516" s="1096"/>
      <c r="D516" s="1092"/>
      <c r="E516" s="1092"/>
      <c r="F516" s="1094"/>
      <c r="G516" s="103"/>
      <c r="H516" s="101"/>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93"/>
      <c r="I517" s="1091"/>
      <c r="J517" s="1083"/>
      <c r="K517" s="1083"/>
      <c r="L517" s="932"/>
    </row>
    <row r="518" spans="1:12" s="106" customFormat="1" ht="15.75" hidden="1" customHeight="1" outlineLevel="1">
      <c r="A518" s="932"/>
      <c r="B518" s="1086"/>
      <c r="C518" s="1095"/>
      <c r="D518" s="1091"/>
      <c r="E518" s="1091"/>
      <c r="F518" s="1093"/>
      <c r="G518" s="98"/>
      <c r="H518" s="93"/>
      <c r="I518" s="1091"/>
      <c r="J518" s="1084"/>
      <c r="K518" s="1084"/>
      <c r="L518" s="932"/>
    </row>
    <row r="519" spans="1:12" s="106" customFormat="1" ht="15.75" hidden="1" customHeight="1" outlineLevel="1">
      <c r="A519" s="932"/>
      <c r="B519" s="1087"/>
      <c r="C519" s="1096"/>
      <c r="D519" s="1092"/>
      <c r="E519" s="1092"/>
      <c r="F519" s="1094"/>
      <c r="G519" s="103"/>
      <c r="H519" s="101"/>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93"/>
      <c r="I520" s="1091"/>
      <c r="J520" s="1083"/>
      <c r="K520" s="1083"/>
      <c r="L520" s="932"/>
    </row>
    <row r="521" spans="1:12" s="106" customFormat="1" ht="15.75" hidden="1" customHeight="1" outlineLevel="1">
      <c r="A521" s="932"/>
      <c r="B521" s="1086"/>
      <c r="C521" s="1095"/>
      <c r="D521" s="1091"/>
      <c r="E521" s="1091"/>
      <c r="F521" s="1093"/>
      <c r="G521" s="98"/>
      <c r="H521" s="93"/>
      <c r="I521" s="1091"/>
      <c r="J521" s="1084"/>
      <c r="K521" s="1084"/>
      <c r="L521" s="932"/>
    </row>
    <row r="522" spans="1:12" s="106" customFormat="1" ht="15.75" hidden="1" customHeight="1" outlineLevel="1">
      <c r="A522" s="932"/>
      <c r="B522" s="1087"/>
      <c r="C522" s="1096"/>
      <c r="D522" s="1092"/>
      <c r="E522" s="1092"/>
      <c r="F522" s="1094"/>
      <c r="G522" s="103"/>
      <c r="H522" s="101"/>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93"/>
      <c r="I523" s="1091"/>
      <c r="J523" s="1083"/>
      <c r="K523" s="1083"/>
      <c r="L523" s="932"/>
    </row>
    <row r="524" spans="1:12" s="106" customFormat="1" ht="15.75" hidden="1" customHeight="1" outlineLevel="1">
      <c r="A524" s="932"/>
      <c r="B524" s="1086"/>
      <c r="C524" s="1095"/>
      <c r="D524" s="1091"/>
      <c r="E524" s="1091"/>
      <c r="F524" s="1093"/>
      <c r="G524" s="98"/>
      <c r="H524" s="93"/>
      <c r="I524" s="1091"/>
      <c r="J524" s="1084"/>
      <c r="K524" s="1084"/>
      <c r="L524" s="932"/>
    </row>
    <row r="525" spans="1:12" s="106" customFormat="1" ht="15.75" hidden="1" customHeight="1" outlineLevel="1">
      <c r="A525" s="932"/>
      <c r="B525" s="1087"/>
      <c r="C525" s="1096"/>
      <c r="D525" s="1092"/>
      <c r="E525" s="1092"/>
      <c r="F525" s="1094"/>
      <c r="G525" s="103"/>
      <c r="H525" s="101"/>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93"/>
      <c r="I526" s="1091"/>
      <c r="J526" s="1083"/>
      <c r="K526" s="1083"/>
      <c r="L526" s="932"/>
    </row>
    <row r="527" spans="1:12" s="106" customFormat="1" ht="15.75" hidden="1" customHeight="1" outlineLevel="1">
      <c r="A527" s="932"/>
      <c r="B527" s="1086"/>
      <c r="C527" s="1095"/>
      <c r="D527" s="1091"/>
      <c r="E527" s="1091"/>
      <c r="F527" s="1093"/>
      <c r="G527" s="98"/>
      <c r="H527" s="93"/>
      <c r="I527" s="1091"/>
      <c r="J527" s="1084"/>
      <c r="K527" s="1084"/>
      <c r="L527" s="932"/>
    </row>
    <row r="528" spans="1:12" s="106" customFormat="1" ht="15.75" hidden="1" customHeight="1" outlineLevel="1">
      <c r="A528" s="932"/>
      <c r="B528" s="1087"/>
      <c r="C528" s="1096"/>
      <c r="D528" s="1092"/>
      <c r="E528" s="1092"/>
      <c r="F528" s="1094"/>
      <c r="G528" s="103"/>
      <c r="H528" s="101"/>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93"/>
      <c r="I529" s="1091"/>
      <c r="J529" s="1083"/>
      <c r="K529" s="1083"/>
      <c r="L529" s="932"/>
    </row>
    <row r="530" spans="1:12" s="106" customFormat="1" ht="15.75" hidden="1" customHeight="1" outlineLevel="1">
      <c r="A530" s="932"/>
      <c r="B530" s="1086"/>
      <c r="C530" s="1095"/>
      <c r="D530" s="1091"/>
      <c r="E530" s="1091"/>
      <c r="F530" s="1093"/>
      <c r="G530" s="98"/>
      <c r="H530" s="93"/>
      <c r="I530" s="1091"/>
      <c r="J530" s="1084"/>
      <c r="K530" s="1084"/>
      <c r="L530" s="932"/>
    </row>
    <row r="531" spans="1:12" s="106" customFormat="1" ht="15.75" hidden="1" customHeight="1" outlineLevel="1">
      <c r="A531" s="932"/>
      <c r="B531" s="1087"/>
      <c r="C531" s="1096"/>
      <c r="D531" s="1092"/>
      <c r="E531" s="1092"/>
      <c r="F531" s="1094"/>
      <c r="G531" s="103"/>
      <c r="H531" s="101"/>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93"/>
      <c r="I532" s="1091"/>
      <c r="J532" s="1083"/>
      <c r="K532" s="1083"/>
      <c r="L532" s="932"/>
    </row>
    <row r="533" spans="1:12" s="106" customFormat="1" ht="15.75" hidden="1" customHeight="1" outlineLevel="1">
      <c r="A533" s="932"/>
      <c r="B533" s="1086"/>
      <c r="C533" s="1095"/>
      <c r="D533" s="1091"/>
      <c r="E533" s="1091"/>
      <c r="F533" s="1093"/>
      <c r="G533" s="98"/>
      <c r="H533" s="93"/>
      <c r="I533" s="1091"/>
      <c r="J533" s="1084"/>
      <c r="K533" s="1084"/>
      <c r="L533" s="932"/>
    </row>
    <row r="534" spans="1:12" s="106" customFormat="1" ht="15.75" hidden="1" customHeight="1" outlineLevel="1">
      <c r="A534" s="932"/>
      <c r="B534" s="1087"/>
      <c r="C534" s="1096"/>
      <c r="D534" s="1092"/>
      <c r="E534" s="1092"/>
      <c r="F534" s="1094"/>
      <c r="G534" s="103"/>
      <c r="H534" s="101"/>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93"/>
      <c r="I535" s="1091"/>
      <c r="J535" s="1083"/>
      <c r="K535" s="1083"/>
      <c r="L535" s="932"/>
    </row>
    <row r="536" spans="1:12" s="106" customFormat="1" ht="15.75" hidden="1" customHeight="1" outlineLevel="1">
      <c r="A536" s="932"/>
      <c r="B536" s="1086"/>
      <c r="C536" s="1095"/>
      <c r="D536" s="1091"/>
      <c r="E536" s="1091"/>
      <c r="F536" s="1093"/>
      <c r="G536" s="98"/>
      <c r="H536" s="93"/>
      <c r="I536" s="1091"/>
      <c r="J536" s="1084"/>
      <c r="K536" s="1084"/>
      <c r="L536" s="932"/>
    </row>
    <row r="537" spans="1:12" s="106" customFormat="1" ht="15.75" hidden="1" customHeight="1" outlineLevel="1">
      <c r="A537" s="932"/>
      <c r="B537" s="1087"/>
      <c r="C537" s="1096"/>
      <c r="D537" s="1092"/>
      <c r="E537" s="1092"/>
      <c r="F537" s="1094"/>
      <c r="G537" s="103"/>
      <c r="H537" s="101"/>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93"/>
      <c r="I538" s="1091"/>
      <c r="J538" s="1083"/>
      <c r="K538" s="1083"/>
      <c r="L538" s="932"/>
    </row>
    <row r="539" spans="1:12" s="106" customFormat="1" ht="15.75" hidden="1" customHeight="1" outlineLevel="1">
      <c r="A539" s="932"/>
      <c r="B539" s="1086"/>
      <c r="C539" s="1095"/>
      <c r="D539" s="1091"/>
      <c r="E539" s="1091"/>
      <c r="F539" s="1093"/>
      <c r="G539" s="98"/>
      <c r="H539" s="93"/>
      <c r="I539" s="1091"/>
      <c r="J539" s="1084"/>
      <c r="K539" s="1084"/>
      <c r="L539" s="932"/>
    </row>
    <row r="540" spans="1:12" s="106" customFormat="1" ht="15.75" hidden="1" customHeight="1" outlineLevel="1">
      <c r="A540" s="932"/>
      <c r="B540" s="1087"/>
      <c r="C540" s="1096"/>
      <c r="D540" s="1092"/>
      <c r="E540" s="1092"/>
      <c r="F540" s="1094"/>
      <c r="G540" s="103"/>
      <c r="H540" s="101"/>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93"/>
      <c r="I541" s="1091"/>
      <c r="J541" s="1083"/>
      <c r="K541" s="1083"/>
      <c r="L541" s="932"/>
    </row>
    <row r="542" spans="1:12" s="106" customFormat="1" ht="15.75" hidden="1" customHeight="1" outlineLevel="1">
      <c r="A542" s="932"/>
      <c r="B542" s="1086"/>
      <c r="C542" s="1095"/>
      <c r="D542" s="1091"/>
      <c r="E542" s="1091"/>
      <c r="F542" s="1093"/>
      <c r="G542" s="98"/>
      <c r="H542" s="93"/>
      <c r="I542" s="1091"/>
      <c r="J542" s="1084"/>
      <c r="K542" s="1084"/>
      <c r="L542" s="932"/>
    </row>
    <row r="543" spans="1:12" s="106" customFormat="1" ht="15.75" hidden="1" customHeight="1" outlineLevel="1">
      <c r="A543" s="932"/>
      <c r="B543" s="1087"/>
      <c r="C543" s="1096"/>
      <c r="D543" s="1092"/>
      <c r="E543" s="1092"/>
      <c r="F543" s="1094"/>
      <c r="G543" s="103"/>
      <c r="H543" s="101"/>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93"/>
      <c r="I544" s="1091"/>
      <c r="J544" s="1083"/>
      <c r="K544" s="1083"/>
      <c r="L544" s="932"/>
    </row>
    <row r="545" spans="1:12" s="106" customFormat="1" ht="15.75" hidden="1" customHeight="1" outlineLevel="1">
      <c r="A545" s="932"/>
      <c r="B545" s="1086"/>
      <c r="C545" s="1095"/>
      <c r="D545" s="1091"/>
      <c r="E545" s="1091"/>
      <c r="F545" s="1093"/>
      <c r="G545" s="98"/>
      <c r="H545" s="93"/>
      <c r="I545" s="1091"/>
      <c r="J545" s="1084"/>
      <c r="K545" s="1084"/>
      <c r="L545" s="932"/>
    </row>
    <row r="546" spans="1:12" s="106" customFormat="1" ht="15.75" hidden="1" customHeight="1" outlineLevel="1">
      <c r="A546" s="932"/>
      <c r="B546" s="1087"/>
      <c r="C546" s="1096"/>
      <c r="D546" s="1092"/>
      <c r="E546" s="1092"/>
      <c r="F546" s="1094"/>
      <c r="G546" s="103"/>
      <c r="H546" s="101"/>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93"/>
      <c r="I547" s="1091"/>
      <c r="J547" s="1083"/>
      <c r="K547" s="1083"/>
      <c r="L547" s="932"/>
    </row>
    <row r="548" spans="1:12" s="106" customFormat="1" ht="15.75" hidden="1" customHeight="1" outlineLevel="1">
      <c r="A548" s="932"/>
      <c r="B548" s="1086"/>
      <c r="C548" s="1095"/>
      <c r="D548" s="1091"/>
      <c r="E548" s="1091"/>
      <c r="F548" s="1093"/>
      <c r="G548" s="98"/>
      <c r="H548" s="93"/>
      <c r="I548" s="1091"/>
      <c r="J548" s="1084"/>
      <c r="K548" s="1084"/>
      <c r="L548" s="932"/>
    </row>
    <row r="549" spans="1:12" s="106" customFormat="1" ht="15.75" hidden="1" customHeight="1" outlineLevel="1">
      <c r="A549" s="932"/>
      <c r="B549" s="1087"/>
      <c r="C549" s="1096"/>
      <c r="D549" s="1092"/>
      <c r="E549" s="1092"/>
      <c r="F549" s="1094"/>
      <c r="G549" s="103"/>
      <c r="H549" s="101"/>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93"/>
      <c r="I550" s="1091"/>
      <c r="J550" s="1083"/>
      <c r="K550" s="1083"/>
      <c r="L550" s="932"/>
    </row>
    <row r="551" spans="1:12" s="106" customFormat="1" ht="15.75" hidden="1" customHeight="1" outlineLevel="1">
      <c r="A551" s="932"/>
      <c r="B551" s="1086"/>
      <c r="C551" s="1095"/>
      <c r="D551" s="1091"/>
      <c r="E551" s="1091"/>
      <c r="F551" s="1093"/>
      <c r="G551" s="98"/>
      <c r="H551" s="93"/>
      <c r="I551" s="1091"/>
      <c r="J551" s="1084"/>
      <c r="K551" s="1084"/>
      <c r="L551" s="932"/>
    </row>
    <row r="552" spans="1:12" s="106" customFormat="1" ht="15.75" hidden="1" customHeight="1" outlineLevel="1">
      <c r="A552" s="932"/>
      <c r="B552" s="1087"/>
      <c r="C552" s="1096"/>
      <c r="D552" s="1092"/>
      <c r="E552" s="1092"/>
      <c r="F552" s="1094"/>
      <c r="G552" s="103"/>
      <c r="H552" s="101"/>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93"/>
      <c r="I553" s="1091"/>
      <c r="J553" s="1083"/>
      <c r="K553" s="1083"/>
      <c r="L553" s="932"/>
    </row>
    <row r="554" spans="1:12" s="106" customFormat="1" ht="15.75" hidden="1" customHeight="1" outlineLevel="1">
      <c r="A554" s="932"/>
      <c r="B554" s="1086"/>
      <c r="C554" s="1095"/>
      <c r="D554" s="1091"/>
      <c r="E554" s="1091"/>
      <c r="F554" s="1093"/>
      <c r="G554" s="98"/>
      <c r="H554" s="93"/>
      <c r="I554" s="1091"/>
      <c r="J554" s="1084"/>
      <c r="K554" s="1084"/>
      <c r="L554" s="932"/>
    </row>
    <row r="555" spans="1:12" s="106" customFormat="1" ht="15.75" hidden="1" customHeight="1" outlineLevel="1">
      <c r="A555" s="932"/>
      <c r="B555" s="1087"/>
      <c r="C555" s="1096"/>
      <c r="D555" s="1092"/>
      <c r="E555" s="1092"/>
      <c r="F555" s="1094"/>
      <c r="G555" s="103"/>
      <c r="H555" s="101"/>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93"/>
      <c r="I556" s="1091"/>
      <c r="J556" s="1083"/>
      <c r="K556" s="1083"/>
      <c r="L556" s="932"/>
    </row>
    <row r="557" spans="1:12" s="106" customFormat="1" ht="15.75" hidden="1" customHeight="1" outlineLevel="1">
      <c r="A557" s="932"/>
      <c r="B557" s="1086"/>
      <c r="C557" s="1095"/>
      <c r="D557" s="1091"/>
      <c r="E557" s="1091"/>
      <c r="F557" s="1093"/>
      <c r="G557" s="98"/>
      <c r="H557" s="93"/>
      <c r="I557" s="1091"/>
      <c r="J557" s="1084"/>
      <c r="K557" s="1084"/>
      <c r="L557" s="932"/>
    </row>
    <row r="558" spans="1:12" s="106" customFormat="1" ht="15.75" hidden="1" customHeight="1" outlineLevel="1">
      <c r="A558" s="932"/>
      <c r="B558" s="1087"/>
      <c r="C558" s="1096"/>
      <c r="D558" s="1092"/>
      <c r="E558" s="1092"/>
      <c r="F558" s="1094"/>
      <c r="G558" s="103"/>
      <c r="H558" s="101"/>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93"/>
      <c r="I559" s="1091"/>
      <c r="J559" s="1083"/>
      <c r="K559" s="1083"/>
      <c r="L559" s="932"/>
    </row>
    <row r="560" spans="1:12" s="106" customFormat="1" ht="15.75" hidden="1" customHeight="1" outlineLevel="1">
      <c r="A560" s="932"/>
      <c r="B560" s="1086"/>
      <c r="C560" s="1095"/>
      <c r="D560" s="1091"/>
      <c r="E560" s="1091"/>
      <c r="F560" s="1093"/>
      <c r="G560" s="98"/>
      <c r="H560" s="93"/>
      <c r="I560" s="1091"/>
      <c r="J560" s="1084"/>
      <c r="K560" s="1084"/>
      <c r="L560" s="932"/>
    </row>
    <row r="561" spans="1:12" s="106" customFormat="1" ht="15.75" hidden="1" customHeight="1" outlineLevel="1">
      <c r="A561" s="932"/>
      <c r="B561" s="1087"/>
      <c r="C561" s="1096"/>
      <c r="D561" s="1092"/>
      <c r="E561" s="1092"/>
      <c r="F561" s="1094"/>
      <c r="G561" s="103"/>
      <c r="H561" s="101"/>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93"/>
      <c r="I562" s="1091"/>
      <c r="J562" s="1083"/>
      <c r="K562" s="1083"/>
      <c r="L562" s="932"/>
    </row>
    <row r="563" spans="1:12" s="106" customFormat="1" ht="15.75" hidden="1" customHeight="1" outlineLevel="1">
      <c r="A563" s="932"/>
      <c r="B563" s="1086"/>
      <c r="C563" s="1095"/>
      <c r="D563" s="1091"/>
      <c r="E563" s="1091"/>
      <c r="F563" s="1093"/>
      <c r="G563" s="98"/>
      <c r="H563" s="93"/>
      <c r="I563" s="1091"/>
      <c r="J563" s="1084"/>
      <c r="K563" s="1084"/>
      <c r="L563" s="932"/>
    </row>
    <row r="564" spans="1:12" s="106" customFormat="1" ht="15.75" hidden="1" customHeight="1" outlineLevel="1">
      <c r="A564" s="932"/>
      <c r="B564" s="1087"/>
      <c r="C564" s="1096"/>
      <c r="D564" s="1092"/>
      <c r="E564" s="1092"/>
      <c r="F564" s="1094"/>
      <c r="G564" s="103"/>
      <c r="H564" s="101"/>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93"/>
      <c r="I565" s="1091"/>
      <c r="J565" s="1083"/>
      <c r="K565" s="1083"/>
      <c r="L565" s="932"/>
    </row>
    <row r="566" spans="1:12" s="106" customFormat="1" ht="15.75" hidden="1" customHeight="1" outlineLevel="1">
      <c r="A566" s="932"/>
      <c r="B566" s="1086"/>
      <c r="C566" s="1095"/>
      <c r="D566" s="1091"/>
      <c r="E566" s="1091"/>
      <c r="F566" s="1093"/>
      <c r="G566" s="98"/>
      <c r="H566" s="93"/>
      <c r="I566" s="1091"/>
      <c r="J566" s="1084"/>
      <c r="K566" s="1084"/>
      <c r="L566" s="932"/>
    </row>
    <row r="567" spans="1:12" s="106" customFormat="1" ht="15.75" hidden="1" customHeight="1" outlineLevel="1">
      <c r="A567" s="932"/>
      <c r="B567" s="1087"/>
      <c r="C567" s="1096"/>
      <c r="D567" s="1092"/>
      <c r="E567" s="1092"/>
      <c r="F567" s="1094"/>
      <c r="G567" s="103"/>
      <c r="H567" s="101"/>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93"/>
      <c r="I568" s="1091"/>
      <c r="J568" s="1083"/>
      <c r="K568" s="1083"/>
      <c r="L568" s="932"/>
    </row>
    <row r="569" spans="1:12" s="106" customFormat="1" ht="15.75" hidden="1" customHeight="1" outlineLevel="1">
      <c r="A569" s="932"/>
      <c r="B569" s="1086"/>
      <c r="C569" s="1095"/>
      <c r="D569" s="1091"/>
      <c r="E569" s="1091"/>
      <c r="F569" s="1093"/>
      <c r="G569" s="98"/>
      <c r="H569" s="93"/>
      <c r="I569" s="1091"/>
      <c r="J569" s="1084"/>
      <c r="K569" s="1084"/>
      <c r="L569" s="932"/>
    </row>
    <row r="570" spans="1:12" s="106" customFormat="1" ht="15.75" hidden="1" customHeight="1" outlineLevel="1">
      <c r="A570" s="932"/>
      <c r="B570" s="1087"/>
      <c r="C570" s="1096"/>
      <c r="D570" s="1092"/>
      <c r="E570" s="1092"/>
      <c r="F570" s="1094"/>
      <c r="G570" s="103"/>
      <c r="H570" s="101"/>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93"/>
      <c r="I571" s="1091"/>
      <c r="J571" s="1083"/>
      <c r="K571" s="1083"/>
      <c r="L571" s="932"/>
    </row>
    <row r="572" spans="1:12" s="106" customFormat="1" ht="15.75" hidden="1" customHeight="1" outlineLevel="1">
      <c r="A572" s="932"/>
      <c r="B572" s="1086"/>
      <c r="C572" s="1095"/>
      <c r="D572" s="1091"/>
      <c r="E572" s="1091"/>
      <c r="F572" s="1093"/>
      <c r="G572" s="98"/>
      <c r="H572" s="93"/>
      <c r="I572" s="1091"/>
      <c r="J572" s="1084"/>
      <c r="K572" s="1084"/>
      <c r="L572" s="932"/>
    </row>
    <row r="573" spans="1:12" s="106" customFormat="1" ht="15.75" hidden="1" customHeight="1" outlineLevel="1">
      <c r="A573" s="932"/>
      <c r="B573" s="1087"/>
      <c r="C573" s="1096"/>
      <c r="D573" s="1092"/>
      <c r="E573" s="1092"/>
      <c r="F573" s="1094"/>
      <c r="G573" s="103"/>
      <c r="H573" s="101"/>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93"/>
      <c r="I574" s="1091"/>
      <c r="J574" s="1083"/>
      <c r="K574" s="1083"/>
      <c r="L574" s="932"/>
    </row>
    <row r="575" spans="1:12" s="106" customFormat="1" ht="15.75" hidden="1" customHeight="1" outlineLevel="1">
      <c r="A575" s="932"/>
      <c r="B575" s="1086"/>
      <c r="C575" s="1095"/>
      <c r="D575" s="1091"/>
      <c r="E575" s="1091"/>
      <c r="F575" s="1093"/>
      <c r="G575" s="98"/>
      <c r="H575" s="93"/>
      <c r="I575" s="1091"/>
      <c r="J575" s="1084"/>
      <c r="K575" s="1084"/>
      <c r="L575" s="932"/>
    </row>
    <row r="576" spans="1:12" s="106" customFormat="1" ht="15.75" hidden="1" customHeight="1" outlineLevel="1">
      <c r="A576" s="932"/>
      <c r="B576" s="1087"/>
      <c r="C576" s="1096"/>
      <c r="D576" s="1092"/>
      <c r="E576" s="1092"/>
      <c r="F576" s="1094"/>
      <c r="G576" s="103"/>
      <c r="H576" s="101"/>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93"/>
      <c r="I577" s="1091"/>
      <c r="J577" s="1083"/>
      <c r="K577" s="1083"/>
      <c r="L577" s="932"/>
    </row>
    <row r="578" spans="1:12" s="106" customFormat="1" ht="15.75" hidden="1" customHeight="1" outlineLevel="1">
      <c r="A578" s="932"/>
      <c r="B578" s="1086"/>
      <c r="C578" s="1095"/>
      <c r="D578" s="1091"/>
      <c r="E578" s="1091"/>
      <c r="F578" s="1093"/>
      <c r="G578" s="98"/>
      <c r="H578" s="93"/>
      <c r="I578" s="1091"/>
      <c r="J578" s="1084"/>
      <c r="K578" s="1084"/>
      <c r="L578" s="932"/>
    </row>
    <row r="579" spans="1:12" s="106" customFormat="1" ht="15.75" hidden="1" customHeight="1" outlineLevel="1">
      <c r="A579" s="932"/>
      <c r="B579" s="1087"/>
      <c r="C579" s="1096"/>
      <c r="D579" s="1092"/>
      <c r="E579" s="1092"/>
      <c r="F579" s="1094"/>
      <c r="G579" s="103"/>
      <c r="H579" s="101"/>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93"/>
      <c r="I580" s="1091"/>
      <c r="J580" s="1083"/>
      <c r="K580" s="1083"/>
      <c r="L580" s="932"/>
    </row>
    <row r="581" spans="1:12" s="106" customFormat="1" ht="15.75" hidden="1" customHeight="1" outlineLevel="1">
      <c r="A581" s="932"/>
      <c r="B581" s="1086"/>
      <c r="C581" s="1095"/>
      <c r="D581" s="1091"/>
      <c r="E581" s="1091"/>
      <c r="F581" s="1093"/>
      <c r="G581" s="98"/>
      <c r="H581" s="93"/>
      <c r="I581" s="1091"/>
      <c r="J581" s="1084"/>
      <c r="K581" s="1084"/>
      <c r="L581" s="932"/>
    </row>
    <row r="582" spans="1:12" s="106" customFormat="1" ht="15.75" hidden="1" customHeight="1" outlineLevel="1">
      <c r="A582" s="932"/>
      <c r="B582" s="1087"/>
      <c r="C582" s="1096"/>
      <c r="D582" s="1092"/>
      <c r="E582" s="1092"/>
      <c r="F582" s="1094"/>
      <c r="G582" s="103"/>
      <c r="H582" s="101"/>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93"/>
      <c r="I583" s="1091"/>
      <c r="J583" s="1083"/>
      <c r="K583" s="1083"/>
      <c r="L583" s="932"/>
    </row>
    <row r="584" spans="1:12" s="106" customFormat="1" ht="15.75" hidden="1" customHeight="1" outlineLevel="1">
      <c r="A584" s="932"/>
      <c r="B584" s="1086"/>
      <c r="C584" s="1095"/>
      <c r="D584" s="1091"/>
      <c r="E584" s="1091"/>
      <c r="F584" s="1093"/>
      <c r="G584" s="98"/>
      <c r="H584" s="93"/>
      <c r="I584" s="1091"/>
      <c r="J584" s="1084"/>
      <c r="K584" s="1084"/>
      <c r="L584" s="932"/>
    </row>
    <row r="585" spans="1:12" s="106" customFormat="1" ht="15.75" hidden="1" customHeight="1" outlineLevel="1">
      <c r="A585" s="932"/>
      <c r="B585" s="1087"/>
      <c r="C585" s="1096"/>
      <c r="D585" s="1092"/>
      <c r="E585" s="1092"/>
      <c r="F585" s="1094"/>
      <c r="G585" s="103"/>
      <c r="H585" s="101"/>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93"/>
      <c r="I586" s="1091"/>
      <c r="J586" s="1083"/>
      <c r="K586" s="1083"/>
      <c r="L586" s="932"/>
    </row>
    <row r="587" spans="1:12" s="106" customFormat="1" ht="15.75" hidden="1" customHeight="1" outlineLevel="1">
      <c r="A587" s="932"/>
      <c r="B587" s="1086"/>
      <c r="C587" s="1095"/>
      <c r="D587" s="1091"/>
      <c r="E587" s="1091"/>
      <c r="F587" s="1093"/>
      <c r="G587" s="98"/>
      <c r="H587" s="93"/>
      <c r="I587" s="1091"/>
      <c r="J587" s="1084"/>
      <c r="K587" s="1084"/>
      <c r="L587" s="932"/>
    </row>
    <row r="588" spans="1:12" s="106" customFormat="1" ht="15.75" hidden="1" customHeight="1" outlineLevel="1">
      <c r="A588" s="932"/>
      <c r="B588" s="1087"/>
      <c r="C588" s="1096"/>
      <c r="D588" s="1092"/>
      <c r="E588" s="1092"/>
      <c r="F588" s="1094"/>
      <c r="G588" s="103"/>
      <c r="H588" s="101"/>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93"/>
      <c r="I589" s="1091"/>
      <c r="J589" s="1083"/>
      <c r="K589" s="1083"/>
      <c r="L589" s="932"/>
    </row>
    <row r="590" spans="1:12" s="106" customFormat="1" ht="15.75" hidden="1" customHeight="1" outlineLevel="1">
      <c r="A590" s="932"/>
      <c r="B590" s="1086"/>
      <c r="C590" s="1095"/>
      <c r="D590" s="1091"/>
      <c r="E590" s="1091"/>
      <c r="F590" s="1093"/>
      <c r="G590" s="98"/>
      <c r="H590" s="93"/>
      <c r="I590" s="1091"/>
      <c r="J590" s="1084"/>
      <c r="K590" s="1084"/>
      <c r="L590" s="932"/>
    </row>
    <row r="591" spans="1:12" s="106" customFormat="1" ht="15.75" hidden="1" customHeight="1" outlineLevel="1">
      <c r="A591" s="932"/>
      <c r="B591" s="1087"/>
      <c r="C591" s="1096"/>
      <c r="D591" s="1092"/>
      <c r="E591" s="1092"/>
      <c r="F591" s="1094"/>
      <c r="G591" s="103"/>
      <c r="H591" s="101"/>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93"/>
      <c r="I592" s="1091"/>
      <c r="J592" s="1083"/>
      <c r="K592" s="1083"/>
      <c r="L592" s="932"/>
    </row>
    <row r="593" spans="1:12" s="106" customFormat="1" ht="15.75" hidden="1" customHeight="1" outlineLevel="1">
      <c r="A593" s="932"/>
      <c r="B593" s="1086"/>
      <c r="C593" s="1095"/>
      <c r="D593" s="1091"/>
      <c r="E593" s="1091"/>
      <c r="F593" s="1093"/>
      <c r="G593" s="98"/>
      <c r="H593" s="93"/>
      <c r="I593" s="1091"/>
      <c r="J593" s="1084"/>
      <c r="K593" s="1084"/>
      <c r="L593" s="932"/>
    </row>
    <row r="594" spans="1:12" s="106" customFormat="1" ht="15.75" hidden="1" customHeight="1" outlineLevel="1">
      <c r="A594" s="932"/>
      <c r="B594" s="1087"/>
      <c r="C594" s="1096"/>
      <c r="D594" s="1092"/>
      <c r="E594" s="1092"/>
      <c r="F594" s="1094"/>
      <c r="G594" s="103"/>
      <c r="H594" s="101"/>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93"/>
      <c r="I595" s="1091"/>
      <c r="J595" s="1083"/>
      <c r="K595" s="1083"/>
      <c r="L595" s="932"/>
    </row>
    <row r="596" spans="1:12" s="106" customFormat="1" ht="15.75" hidden="1" customHeight="1" outlineLevel="1">
      <c r="A596" s="932"/>
      <c r="B596" s="1086"/>
      <c r="C596" s="1095"/>
      <c r="D596" s="1091"/>
      <c r="E596" s="1091"/>
      <c r="F596" s="1093"/>
      <c r="G596" s="98"/>
      <c r="H596" s="93"/>
      <c r="I596" s="1091"/>
      <c r="J596" s="1084"/>
      <c r="K596" s="1084"/>
      <c r="L596" s="932"/>
    </row>
    <row r="597" spans="1:12" s="106" customFormat="1" ht="15.75" hidden="1" customHeight="1" outlineLevel="1">
      <c r="A597" s="932"/>
      <c r="B597" s="1087"/>
      <c r="C597" s="1096"/>
      <c r="D597" s="1092"/>
      <c r="E597" s="1092"/>
      <c r="F597" s="1094"/>
      <c r="G597" s="103"/>
      <c r="H597" s="101"/>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93"/>
      <c r="I598" s="1091"/>
      <c r="J598" s="1083"/>
      <c r="K598" s="1083"/>
      <c r="L598" s="932"/>
    </row>
    <row r="599" spans="1:12" s="106" customFormat="1" ht="15.75" hidden="1" customHeight="1" outlineLevel="1">
      <c r="A599" s="932"/>
      <c r="B599" s="1086"/>
      <c r="C599" s="1095"/>
      <c r="D599" s="1091"/>
      <c r="E599" s="1091"/>
      <c r="F599" s="1093"/>
      <c r="G599" s="98"/>
      <c r="H599" s="93"/>
      <c r="I599" s="1091"/>
      <c r="J599" s="1084"/>
      <c r="K599" s="1084"/>
      <c r="L599" s="932"/>
    </row>
    <row r="600" spans="1:12" s="106" customFormat="1" ht="15.75" hidden="1" customHeight="1" outlineLevel="1">
      <c r="A600" s="932"/>
      <c r="B600" s="1087"/>
      <c r="C600" s="1096"/>
      <c r="D600" s="1092"/>
      <c r="E600" s="1092"/>
      <c r="F600" s="1094"/>
      <c r="G600" s="103"/>
      <c r="H600" s="101"/>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93"/>
      <c r="I601" s="1091"/>
      <c r="J601" s="1083"/>
      <c r="K601" s="1083"/>
      <c r="L601" s="932"/>
    </row>
    <row r="602" spans="1:12" s="106" customFormat="1" ht="15.75" hidden="1" customHeight="1" outlineLevel="1">
      <c r="A602" s="932"/>
      <c r="B602" s="1086"/>
      <c r="C602" s="1095"/>
      <c r="D602" s="1091"/>
      <c r="E602" s="1091"/>
      <c r="F602" s="1093"/>
      <c r="G602" s="98"/>
      <c r="H602" s="93"/>
      <c r="I602" s="1091"/>
      <c r="J602" s="1084"/>
      <c r="K602" s="1084"/>
      <c r="L602" s="932"/>
    </row>
    <row r="603" spans="1:12" s="106" customFormat="1" ht="15.75" hidden="1" customHeight="1" outlineLevel="1">
      <c r="A603" s="932"/>
      <c r="B603" s="1087"/>
      <c r="C603" s="1096"/>
      <c r="D603" s="1092"/>
      <c r="E603" s="1092"/>
      <c r="F603" s="1094"/>
      <c r="G603" s="103"/>
      <c r="H603" s="101"/>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93"/>
      <c r="I604" s="1091"/>
      <c r="J604" s="1083"/>
      <c r="K604" s="1083"/>
      <c r="L604" s="932"/>
    </row>
    <row r="605" spans="1:12" s="106" customFormat="1" ht="15.75" hidden="1" customHeight="1" outlineLevel="1">
      <c r="A605" s="932"/>
      <c r="B605" s="1086"/>
      <c r="C605" s="1095"/>
      <c r="D605" s="1091"/>
      <c r="E605" s="1091"/>
      <c r="F605" s="1093"/>
      <c r="G605" s="98"/>
      <c r="H605" s="93"/>
      <c r="I605" s="1091"/>
      <c r="J605" s="1084"/>
      <c r="K605" s="1084"/>
      <c r="L605" s="932"/>
    </row>
    <row r="606" spans="1:12" s="106" customFormat="1" ht="15.75" hidden="1" customHeight="1" outlineLevel="1">
      <c r="A606" s="932"/>
      <c r="B606" s="1087"/>
      <c r="C606" s="1096"/>
      <c r="D606" s="1092"/>
      <c r="E606" s="1092"/>
      <c r="F606" s="1094"/>
      <c r="G606" s="103"/>
      <c r="H606" s="101"/>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93"/>
      <c r="I607" s="1091"/>
      <c r="J607" s="1083"/>
      <c r="K607" s="1083"/>
      <c r="L607" s="932"/>
    </row>
    <row r="608" spans="1:12" s="106" customFormat="1" ht="15.75" hidden="1" customHeight="1" outlineLevel="1">
      <c r="A608" s="932"/>
      <c r="B608" s="1086"/>
      <c r="C608" s="1095"/>
      <c r="D608" s="1091"/>
      <c r="E608" s="1091"/>
      <c r="F608" s="1093"/>
      <c r="G608" s="98"/>
      <c r="H608" s="93"/>
      <c r="I608" s="1091"/>
      <c r="J608" s="1084"/>
      <c r="K608" s="1084"/>
      <c r="L608" s="932"/>
    </row>
    <row r="609" spans="1:12" s="106" customFormat="1" ht="15.75" hidden="1" customHeight="1" outlineLevel="1">
      <c r="A609" s="932"/>
      <c r="B609" s="1087"/>
      <c r="C609" s="1096"/>
      <c r="D609" s="1092"/>
      <c r="E609" s="1092"/>
      <c r="F609" s="1094"/>
      <c r="G609" s="103"/>
      <c r="H609" s="101"/>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row>
    <row r="611" spans="1:12" s="106" customFormat="1" ht="15.75" hidden="1" customHeight="1" outlineLevel="1">
      <c r="A611" s="932"/>
      <c r="B611" s="1086"/>
      <c r="C611" s="1089"/>
      <c r="D611" s="1091"/>
      <c r="E611" s="1091"/>
      <c r="F611" s="1093"/>
      <c r="G611" s="98"/>
      <c r="H611" s="93"/>
      <c r="I611" s="1091"/>
      <c r="J611" s="1084"/>
      <c r="K611" s="1084"/>
      <c r="L611" s="932"/>
    </row>
    <row r="612" spans="1:12" s="106" customFormat="1" ht="15.75" hidden="1" customHeight="1" outlineLevel="1" thickBot="1">
      <c r="A612" s="932"/>
      <c r="B612" s="1087"/>
      <c r="C612" s="1090"/>
      <c r="D612" s="1092"/>
      <c r="E612" s="1092"/>
      <c r="F612" s="1094"/>
      <c r="G612" s="103"/>
      <c r="H612" s="101"/>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xr:uid="{00000000-0002-0000-0D00-000000000000}">
      <formula1>$N$13:$N$17</formula1>
    </dataValidation>
  </dataValidations>
  <hyperlinks>
    <hyperlink ref="C1" location="Spis!B38" display="&gt;&gt; powrót do spisu treści" xr:uid="{00000000-0004-0000-0D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7" width="10.81640625" style="81" hidden="1" customWidth="1"/>
    <col min="18" max="22" width="10.81640625" style="81" customWidth="1"/>
    <col min="23"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256</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841"/>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str">
        <f>VLOOKUP(E58,$N$13:$O$17,2,0)</f>
        <v>-</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839"/>
      <c r="I142" s="1091"/>
      <c r="J142" s="1083"/>
      <c r="K142" s="1083"/>
      <c r="L142" s="932"/>
    </row>
    <row r="143" spans="1:12" s="106" customFormat="1" ht="15.75" hidden="1" customHeight="1" outlineLevel="1">
      <c r="A143" s="932"/>
      <c r="B143" s="1086"/>
      <c r="C143" s="1095"/>
      <c r="D143" s="1091"/>
      <c r="E143" s="1091"/>
      <c r="F143" s="1093"/>
      <c r="G143" s="98"/>
      <c r="H143" s="839"/>
      <c r="I143" s="1091"/>
      <c r="J143" s="1084"/>
      <c r="K143" s="1084"/>
      <c r="L143" s="932"/>
    </row>
    <row r="144" spans="1:12" s="106" customFormat="1" ht="15.75" hidden="1" customHeight="1" outlineLevel="1">
      <c r="A144" s="932"/>
      <c r="B144" s="1087"/>
      <c r="C144" s="1096"/>
      <c r="D144" s="1092"/>
      <c r="E144" s="1092"/>
      <c r="F144" s="1094"/>
      <c r="G144" s="103"/>
      <c r="H144" s="840"/>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839"/>
      <c r="I145" s="1091"/>
      <c r="J145" s="1083"/>
      <c r="K145" s="1083"/>
      <c r="L145" s="932"/>
    </row>
    <row r="146" spans="1:12" s="106" customFormat="1" ht="15.75" hidden="1" customHeight="1" outlineLevel="1">
      <c r="A146" s="932"/>
      <c r="B146" s="1086"/>
      <c r="C146" s="1095"/>
      <c r="D146" s="1091"/>
      <c r="E146" s="1091"/>
      <c r="F146" s="1093"/>
      <c r="G146" s="98"/>
      <c r="H146" s="839"/>
      <c r="I146" s="1091"/>
      <c r="J146" s="1084"/>
      <c r="K146" s="1084"/>
      <c r="L146" s="932"/>
    </row>
    <row r="147" spans="1:12" s="106" customFormat="1" ht="15.75" hidden="1" customHeight="1" outlineLevel="1">
      <c r="A147" s="932"/>
      <c r="B147" s="1087"/>
      <c r="C147" s="1096"/>
      <c r="D147" s="1092"/>
      <c r="E147" s="1092"/>
      <c r="F147" s="1094"/>
      <c r="G147" s="103"/>
      <c r="H147" s="840"/>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839"/>
      <c r="I148" s="1091"/>
      <c r="J148" s="1083"/>
      <c r="K148" s="1083"/>
      <c r="L148" s="932"/>
    </row>
    <row r="149" spans="1:12" s="106" customFormat="1" ht="15.75" hidden="1" customHeight="1" outlineLevel="1">
      <c r="A149" s="932"/>
      <c r="B149" s="1086"/>
      <c r="C149" s="1095"/>
      <c r="D149" s="1091"/>
      <c r="E149" s="1091"/>
      <c r="F149" s="1093"/>
      <c r="G149" s="98"/>
      <c r="H149" s="839"/>
      <c r="I149" s="1091"/>
      <c r="J149" s="1084"/>
      <c r="K149" s="1084"/>
      <c r="L149" s="932"/>
    </row>
    <row r="150" spans="1:12" s="106" customFormat="1" ht="15.75" hidden="1" customHeight="1" outlineLevel="1">
      <c r="A150" s="932"/>
      <c r="B150" s="1087"/>
      <c r="C150" s="1096"/>
      <c r="D150" s="1092"/>
      <c r="E150" s="1092"/>
      <c r="F150" s="1094"/>
      <c r="G150" s="103"/>
      <c r="H150" s="840"/>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839"/>
      <c r="I151" s="1091"/>
      <c r="J151" s="1083"/>
      <c r="K151" s="1083"/>
      <c r="L151" s="932"/>
    </row>
    <row r="152" spans="1:12" s="106" customFormat="1" ht="15.75" hidden="1" customHeight="1" outlineLevel="1">
      <c r="A152" s="932"/>
      <c r="B152" s="1086"/>
      <c r="C152" s="1095"/>
      <c r="D152" s="1091"/>
      <c r="E152" s="1091"/>
      <c r="F152" s="1093"/>
      <c r="G152" s="98"/>
      <c r="H152" s="839"/>
      <c r="I152" s="1091"/>
      <c r="J152" s="1084"/>
      <c r="K152" s="1084"/>
      <c r="L152" s="932"/>
    </row>
    <row r="153" spans="1:12" s="106" customFormat="1" ht="15.75" hidden="1" customHeight="1" outlineLevel="1">
      <c r="A153" s="932"/>
      <c r="B153" s="1087"/>
      <c r="C153" s="1096"/>
      <c r="D153" s="1092"/>
      <c r="E153" s="1092"/>
      <c r="F153" s="1094"/>
      <c r="G153" s="103"/>
      <c r="H153" s="840"/>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839"/>
      <c r="I154" s="1091"/>
      <c r="J154" s="1083"/>
      <c r="K154" s="1083"/>
      <c r="L154" s="932"/>
    </row>
    <row r="155" spans="1:12" s="106" customFormat="1" ht="15.75" hidden="1" customHeight="1" outlineLevel="1">
      <c r="A155" s="932"/>
      <c r="B155" s="1086"/>
      <c r="C155" s="1095"/>
      <c r="D155" s="1091"/>
      <c r="E155" s="1091"/>
      <c r="F155" s="1093"/>
      <c r="G155" s="98"/>
      <c r="H155" s="839"/>
      <c r="I155" s="1091"/>
      <c r="J155" s="1084"/>
      <c r="K155" s="1084"/>
      <c r="L155" s="932"/>
    </row>
    <row r="156" spans="1:12" s="106" customFormat="1" ht="15.75" hidden="1" customHeight="1" outlineLevel="1">
      <c r="A156" s="932"/>
      <c r="B156" s="1087"/>
      <c r="C156" s="1096"/>
      <c r="D156" s="1092"/>
      <c r="E156" s="1092"/>
      <c r="F156" s="1094"/>
      <c r="G156" s="103"/>
      <c r="H156" s="840"/>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839"/>
      <c r="I157" s="1091"/>
      <c r="J157" s="1083"/>
      <c r="K157" s="1083"/>
      <c r="L157" s="932"/>
    </row>
    <row r="158" spans="1:12" s="106" customFormat="1" ht="15.75" hidden="1" customHeight="1" outlineLevel="1">
      <c r="A158" s="932"/>
      <c r="B158" s="1086"/>
      <c r="C158" s="1095"/>
      <c r="D158" s="1091"/>
      <c r="E158" s="1091"/>
      <c r="F158" s="1093"/>
      <c r="G158" s="98"/>
      <c r="H158" s="839"/>
      <c r="I158" s="1091"/>
      <c r="J158" s="1084"/>
      <c r="K158" s="1084"/>
      <c r="L158" s="932"/>
    </row>
    <row r="159" spans="1:12" s="106" customFormat="1" ht="15.75" hidden="1" customHeight="1" outlineLevel="1">
      <c r="A159" s="932"/>
      <c r="B159" s="1087"/>
      <c r="C159" s="1096"/>
      <c r="D159" s="1092"/>
      <c r="E159" s="1092"/>
      <c r="F159" s="1094"/>
      <c r="G159" s="103"/>
      <c r="H159" s="840"/>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839"/>
      <c r="I160" s="1091"/>
      <c r="J160" s="1083"/>
      <c r="K160" s="1083"/>
      <c r="L160" s="932"/>
    </row>
    <row r="161" spans="1:12" s="106" customFormat="1" ht="15.75" hidden="1" customHeight="1" outlineLevel="1">
      <c r="A161" s="932"/>
      <c r="B161" s="1086"/>
      <c r="C161" s="1095"/>
      <c r="D161" s="1091"/>
      <c r="E161" s="1091"/>
      <c r="F161" s="1093"/>
      <c r="G161" s="98"/>
      <c r="H161" s="839"/>
      <c r="I161" s="1091"/>
      <c r="J161" s="1084"/>
      <c r="K161" s="1084"/>
      <c r="L161" s="932"/>
    </row>
    <row r="162" spans="1:12" s="106" customFormat="1" ht="15.75" hidden="1" customHeight="1" outlineLevel="1">
      <c r="A162" s="932"/>
      <c r="B162" s="1087"/>
      <c r="C162" s="1096"/>
      <c r="D162" s="1092"/>
      <c r="E162" s="1092"/>
      <c r="F162" s="1094"/>
      <c r="G162" s="103"/>
      <c r="H162" s="840"/>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839"/>
      <c r="I163" s="1091"/>
      <c r="J163" s="1083"/>
      <c r="K163" s="1083"/>
      <c r="L163" s="932"/>
    </row>
    <row r="164" spans="1:12" s="106" customFormat="1" ht="15.75" hidden="1" customHeight="1" outlineLevel="1">
      <c r="A164" s="932"/>
      <c r="B164" s="1086"/>
      <c r="C164" s="1095"/>
      <c r="D164" s="1091"/>
      <c r="E164" s="1091"/>
      <c r="F164" s="1093"/>
      <c r="G164" s="98"/>
      <c r="H164" s="839"/>
      <c r="I164" s="1091"/>
      <c r="J164" s="1084"/>
      <c r="K164" s="1084"/>
      <c r="L164" s="932"/>
    </row>
    <row r="165" spans="1:12" s="106" customFormat="1" ht="15.75" hidden="1" customHeight="1" outlineLevel="1">
      <c r="A165" s="932"/>
      <c r="B165" s="1087"/>
      <c r="C165" s="1096"/>
      <c r="D165" s="1092"/>
      <c r="E165" s="1092"/>
      <c r="F165" s="1094"/>
      <c r="G165" s="103"/>
      <c r="H165" s="840"/>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839"/>
      <c r="I166" s="1091"/>
      <c r="J166" s="1083"/>
      <c r="K166" s="1083"/>
      <c r="L166" s="932"/>
    </row>
    <row r="167" spans="1:12" s="106" customFormat="1" ht="15.75" hidden="1" customHeight="1" outlineLevel="1">
      <c r="A167" s="932"/>
      <c r="B167" s="1086"/>
      <c r="C167" s="1095"/>
      <c r="D167" s="1091"/>
      <c r="E167" s="1091"/>
      <c r="F167" s="1093"/>
      <c r="G167" s="98"/>
      <c r="H167" s="839"/>
      <c r="I167" s="1091"/>
      <c r="J167" s="1084"/>
      <c r="K167" s="1084"/>
      <c r="L167" s="932"/>
    </row>
    <row r="168" spans="1:12" s="106" customFormat="1" ht="15.75" hidden="1" customHeight="1" outlineLevel="1">
      <c r="A168" s="932"/>
      <c r="B168" s="1087"/>
      <c r="C168" s="1096"/>
      <c r="D168" s="1092"/>
      <c r="E168" s="1092"/>
      <c r="F168" s="1094"/>
      <c r="G168" s="103"/>
      <c r="H168" s="840"/>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839"/>
      <c r="I169" s="1091"/>
      <c r="J169" s="1083"/>
      <c r="K169" s="1083"/>
      <c r="L169" s="932"/>
    </row>
    <row r="170" spans="1:12" s="106" customFormat="1" ht="15.75" hidden="1" customHeight="1" outlineLevel="1">
      <c r="A170" s="932"/>
      <c r="B170" s="1086"/>
      <c r="C170" s="1095"/>
      <c r="D170" s="1091"/>
      <c r="E170" s="1091"/>
      <c r="F170" s="1093"/>
      <c r="G170" s="98"/>
      <c r="H170" s="839"/>
      <c r="I170" s="1091"/>
      <c r="J170" s="1084"/>
      <c r="K170" s="1084"/>
      <c r="L170" s="932"/>
    </row>
    <row r="171" spans="1:12" s="106" customFormat="1" ht="15.75" hidden="1" customHeight="1" outlineLevel="1">
      <c r="A171" s="932"/>
      <c r="B171" s="1087"/>
      <c r="C171" s="1096"/>
      <c r="D171" s="1092"/>
      <c r="E171" s="1092"/>
      <c r="F171" s="1094"/>
      <c r="G171" s="103"/>
      <c r="H171" s="840"/>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839"/>
      <c r="I172" s="1091"/>
      <c r="J172" s="1083"/>
      <c r="K172" s="1083"/>
      <c r="L172" s="932"/>
    </row>
    <row r="173" spans="1:12" s="106" customFormat="1" ht="15.75" hidden="1" customHeight="1" outlineLevel="1">
      <c r="A173" s="932"/>
      <c r="B173" s="1086"/>
      <c r="C173" s="1095"/>
      <c r="D173" s="1091"/>
      <c r="E173" s="1091"/>
      <c r="F173" s="1093"/>
      <c r="G173" s="98"/>
      <c r="H173" s="839"/>
      <c r="I173" s="1091"/>
      <c r="J173" s="1084"/>
      <c r="K173" s="1084"/>
      <c r="L173" s="932"/>
    </row>
    <row r="174" spans="1:12" s="106" customFormat="1" ht="15.75" hidden="1" customHeight="1" outlineLevel="1">
      <c r="A174" s="932"/>
      <c r="B174" s="1087"/>
      <c r="C174" s="1096"/>
      <c r="D174" s="1092"/>
      <c r="E174" s="1092"/>
      <c r="F174" s="1094"/>
      <c r="G174" s="103"/>
      <c r="H174" s="840"/>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839"/>
      <c r="I175" s="1091"/>
      <c r="J175" s="1083"/>
      <c r="K175" s="1083"/>
      <c r="L175" s="932"/>
    </row>
    <row r="176" spans="1:12" s="106" customFormat="1" ht="15.75" hidden="1" customHeight="1" outlineLevel="1">
      <c r="A176" s="932"/>
      <c r="B176" s="1086"/>
      <c r="C176" s="1095"/>
      <c r="D176" s="1091"/>
      <c r="E176" s="1091"/>
      <c r="F176" s="1093"/>
      <c r="G176" s="98"/>
      <c r="H176" s="839"/>
      <c r="I176" s="1091"/>
      <c r="J176" s="1084"/>
      <c r="K176" s="1084"/>
      <c r="L176" s="932"/>
    </row>
    <row r="177" spans="1:12" s="106" customFormat="1" ht="15.75" hidden="1" customHeight="1" outlineLevel="1">
      <c r="A177" s="932"/>
      <c r="B177" s="1087"/>
      <c r="C177" s="1096"/>
      <c r="D177" s="1092"/>
      <c r="E177" s="1092"/>
      <c r="F177" s="1094"/>
      <c r="G177" s="103"/>
      <c r="H177" s="840"/>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839"/>
      <c r="I178" s="1091"/>
      <c r="J178" s="1083"/>
      <c r="K178" s="1083"/>
      <c r="L178" s="932"/>
    </row>
    <row r="179" spans="1:12" s="106" customFormat="1" ht="15.75" hidden="1" customHeight="1" outlineLevel="1">
      <c r="A179" s="932"/>
      <c r="B179" s="1086"/>
      <c r="C179" s="1095"/>
      <c r="D179" s="1091"/>
      <c r="E179" s="1091"/>
      <c r="F179" s="1093"/>
      <c r="G179" s="98"/>
      <c r="H179" s="839"/>
      <c r="I179" s="1091"/>
      <c r="J179" s="1084"/>
      <c r="K179" s="1084"/>
      <c r="L179" s="932"/>
    </row>
    <row r="180" spans="1:12" s="106" customFormat="1" ht="15.75" hidden="1" customHeight="1" outlineLevel="1">
      <c r="A180" s="932"/>
      <c r="B180" s="1087"/>
      <c r="C180" s="1096"/>
      <c r="D180" s="1092"/>
      <c r="E180" s="1092"/>
      <c r="F180" s="1094"/>
      <c r="G180" s="103"/>
      <c r="H180" s="840"/>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839"/>
      <c r="I181" s="1091"/>
      <c r="J181" s="1083"/>
      <c r="K181" s="1083"/>
      <c r="L181" s="932"/>
    </row>
    <row r="182" spans="1:12" s="106" customFormat="1" ht="15.75" hidden="1" customHeight="1" outlineLevel="1">
      <c r="A182" s="932"/>
      <c r="B182" s="1086"/>
      <c r="C182" s="1095"/>
      <c r="D182" s="1091"/>
      <c r="E182" s="1091"/>
      <c r="F182" s="1093"/>
      <c r="G182" s="98"/>
      <c r="H182" s="839"/>
      <c r="I182" s="1091"/>
      <c r="J182" s="1084"/>
      <c r="K182" s="1084"/>
      <c r="L182" s="932"/>
    </row>
    <row r="183" spans="1:12" s="106" customFormat="1" ht="15.75" hidden="1" customHeight="1" outlineLevel="1">
      <c r="A183" s="932"/>
      <c r="B183" s="1087"/>
      <c r="C183" s="1096"/>
      <c r="D183" s="1092"/>
      <c r="E183" s="1092"/>
      <c r="F183" s="1094"/>
      <c r="G183" s="103"/>
      <c r="H183" s="840"/>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839"/>
      <c r="I184" s="1091"/>
      <c r="J184" s="1083"/>
      <c r="K184" s="1083"/>
      <c r="L184" s="932"/>
    </row>
    <row r="185" spans="1:12" s="106" customFormat="1" ht="15.75" hidden="1" customHeight="1" outlineLevel="1">
      <c r="A185" s="932"/>
      <c r="B185" s="1086"/>
      <c r="C185" s="1095"/>
      <c r="D185" s="1091"/>
      <c r="E185" s="1091"/>
      <c r="F185" s="1093"/>
      <c r="G185" s="98"/>
      <c r="H185" s="839"/>
      <c r="I185" s="1091"/>
      <c r="J185" s="1084"/>
      <c r="K185" s="1084"/>
      <c r="L185" s="932"/>
    </row>
    <row r="186" spans="1:12" s="106" customFormat="1" ht="15.75" hidden="1" customHeight="1" outlineLevel="1">
      <c r="A186" s="932"/>
      <c r="B186" s="1087"/>
      <c r="C186" s="1096"/>
      <c r="D186" s="1092"/>
      <c r="E186" s="1092"/>
      <c r="F186" s="1094"/>
      <c r="G186" s="103"/>
      <c r="H186" s="840"/>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839"/>
      <c r="I187" s="1091"/>
      <c r="J187" s="1083"/>
      <c r="K187" s="1083"/>
      <c r="L187" s="932"/>
    </row>
    <row r="188" spans="1:12" s="106" customFormat="1" ht="15.75" hidden="1" customHeight="1" outlineLevel="1">
      <c r="A188" s="932"/>
      <c r="B188" s="1086"/>
      <c r="C188" s="1095"/>
      <c r="D188" s="1091"/>
      <c r="E188" s="1091"/>
      <c r="F188" s="1093"/>
      <c r="G188" s="98"/>
      <c r="H188" s="839"/>
      <c r="I188" s="1091"/>
      <c r="J188" s="1084"/>
      <c r="K188" s="1084"/>
      <c r="L188" s="932"/>
    </row>
    <row r="189" spans="1:12" s="106" customFormat="1" ht="15.75" hidden="1" customHeight="1" outlineLevel="1">
      <c r="A189" s="932"/>
      <c r="B189" s="1087"/>
      <c r="C189" s="1096"/>
      <c r="D189" s="1092"/>
      <c r="E189" s="1092"/>
      <c r="F189" s="1094"/>
      <c r="G189" s="103"/>
      <c r="H189" s="840"/>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839"/>
      <c r="I190" s="1091"/>
      <c r="J190" s="1083"/>
      <c r="K190" s="1083"/>
      <c r="L190" s="932"/>
    </row>
    <row r="191" spans="1:12" s="106" customFormat="1" ht="15.75" hidden="1" customHeight="1" outlineLevel="1">
      <c r="A191" s="932"/>
      <c r="B191" s="1086"/>
      <c r="C191" s="1095"/>
      <c r="D191" s="1091"/>
      <c r="E191" s="1091"/>
      <c r="F191" s="1093"/>
      <c r="G191" s="98"/>
      <c r="H191" s="839"/>
      <c r="I191" s="1091"/>
      <c r="J191" s="1084"/>
      <c r="K191" s="1084"/>
      <c r="L191" s="932"/>
    </row>
    <row r="192" spans="1:12" s="106" customFormat="1" ht="15.75" hidden="1" customHeight="1" outlineLevel="1">
      <c r="A192" s="932"/>
      <c r="B192" s="1087"/>
      <c r="C192" s="1096"/>
      <c r="D192" s="1092"/>
      <c r="E192" s="1092"/>
      <c r="F192" s="1094"/>
      <c r="G192" s="103"/>
      <c r="H192" s="840"/>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839"/>
      <c r="I193" s="1091"/>
      <c r="J193" s="1083"/>
      <c r="K193" s="1083"/>
      <c r="L193" s="932"/>
    </row>
    <row r="194" spans="1:12" s="106" customFormat="1" ht="15.75" hidden="1" customHeight="1" outlineLevel="1">
      <c r="A194" s="932"/>
      <c r="B194" s="1086"/>
      <c r="C194" s="1095"/>
      <c r="D194" s="1091"/>
      <c r="E194" s="1091"/>
      <c r="F194" s="1093"/>
      <c r="G194" s="98"/>
      <c r="H194" s="839"/>
      <c r="I194" s="1091"/>
      <c r="J194" s="1084"/>
      <c r="K194" s="1084"/>
      <c r="L194" s="932"/>
    </row>
    <row r="195" spans="1:12" s="106" customFormat="1" ht="15.75" hidden="1" customHeight="1" outlineLevel="1">
      <c r="A195" s="932"/>
      <c r="B195" s="1087"/>
      <c r="C195" s="1096"/>
      <c r="D195" s="1092"/>
      <c r="E195" s="1092"/>
      <c r="F195" s="1094"/>
      <c r="G195" s="103"/>
      <c r="H195" s="840"/>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839"/>
      <c r="I196" s="1091"/>
      <c r="J196" s="1083"/>
      <c r="K196" s="1083"/>
      <c r="L196" s="932"/>
    </row>
    <row r="197" spans="1:12" s="106" customFormat="1" ht="15.75" hidden="1" customHeight="1" outlineLevel="1">
      <c r="A197" s="932"/>
      <c r="B197" s="1086"/>
      <c r="C197" s="1095"/>
      <c r="D197" s="1091"/>
      <c r="E197" s="1091"/>
      <c r="F197" s="1093"/>
      <c r="G197" s="98"/>
      <c r="H197" s="839"/>
      <c r="I197" s="1091"/>
      <c r="J197" s="1084"/>
      <c r="K197" s="1084"/>
      <c r="L197" s="932"/>
    </row>
    <row r="198" spans="1:12" s="106" customFormat="1" ht="15.75" hidden="1" customHeight="1" outlineLevel="1">
      <c r="A198" s="932"/>
      <c r="B198" s="1087"/>
      <c r="C198" s="1096"/>
      <c r="D198" s="1092"/>
      <c r="E198" s="1092"/>
      <c r="F198" s="1094"/>
      <c r="G198" s="103"/>
      <c r="H198" s="840"/>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839"/>
      <c r="I199" s="1091"/>
      <c r="J199" s="1083"/>
      <c r="K199" s="1083"/>
      <c r="L199" s="932"/>
    </row>
    <row r="200" spans="1:12" s="106" customFormat="1" ht="15.75" hidden="1" customHeight="1" outlineLevel="1">
      <c r="A200" s="932"/>
      <c r="B200" s="1086"/>
      <c r="C200" s="1095"/>
      <c r="D200" s="1091"/>
      <c r="E200" s="1091"/>
      <c r="F200" s="1093"/>
      <c r="G200" s="98"/>
      <c r="H200" s="839"/>
      <c r="I200" s="1091"/>
      <c r="J200" s="1084"/>
      <c r="K200" s="1084"/>
      <c r="L200" s="932"/>
    </row>
    <row r="201" spans="1:12" s="106" customFormat="1" ht="15.75" hidden="1" customHeight="1" outlineLevel="1">
      <c r="A201" s="932"/>
      <c r="B201" s="1087"/>
      <c r="C201" s="1096"/>
      <c r="D201" s="1092"/>
      <c r="E201" s="1092"/>
      <c r="F201" s="1094"/>
      <c r="G201" s="103"/>
      <c r="H201" s="840"/>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839"/>
      <c r="I202" s="1091"/>
      <c r="J202" s="1083"/>
      <c r="K202" s="1083"/>
      <c r="L202" s="932"/>
    </row>
    <row r="203" spans="1:12" s="106" customFormat="1" ht="15.75" hidden="1" customHeight="1" outlineLevel="1">
      <c r="A203" s="932"/>
      <c r="B203" s="1086"/>
      <c r="C203" s="1095"/>
      <c r="D203" s="1091"/>
      <c r="E203" s="1091"/>
      <c r="F203" s="1093"/>
      <c r="G203" s="98"/>
      <c r="H203" s="839"/>
      <c r="I203" s="1091"/>
      <c r="J203" s="1084"/>
      <c r="K203" s="1084"/>
      <c r="L203" s="932"/>
    </row>
    <row r="204" spans="1:12" s="106" customFormat="1" ht="15.75" hidden="1" customHeight="1" outlineLevel="1">
      <c r="A204" s="932"/>
      <c r="B204" s="1087"/>
      <c r="C204" s="1096"/>
      <c r="D204" s="1092"/>
      <c r="E204" s="1092"/>
      <c r="F204" s="1094"/>
      <c r="G204" s="103"/>
      <c r="H204" s="840"/>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839"/>
      <c r="I205" s="1091"/>
      <c r="J205" s="1083"/>
      <c r="K205" s="1083"/>
      <c r="L205" s="932"/>
    </row>
    <row r="206" spans="1:12" s="106" customFormat="1" ht="15.75" hidden="1" customHeight="1" outlineLevel="1">
      <c r="A206" s="932"/>
      <c r="B206" s="1086"/>
      <c r="C206" s="1095"/>
      <c r="D206" s="1091"/>
      <c r="E206" s="1091"/>
      <c r="F206" s="1093"/>
      <c r="G206" s="98"/>
      <c r="H206" s="839"/>
      <c r="I206" s="1091"/>
      <c r="J206" s="1084"/>
      <c r="K206" s="1084"/>
      <c r="L206" s="932"/>
    </row>
    <row r="207" spans="1:12" s="106" customFormat="1" ht="15.75" hidden="1" customHeight="1" outlineLevel="1">
      <c r="A207" s="932"/>
      <c r="B207" s="1087"/>
      <c r="C207" s="1096"/>
      <c r="D207" s="1092"/>
      <c r="E207" s="1092"/>
      <c r="F207" s="1094"/>
      <c r="G207" s="103"/>
      <c r="H207" s="840"/>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839"/>
      <c r="I208" s="1091"/>
      <c r="J208" s="1083"/>
      <c r="K208" s="1083"/>
      <c r="L208" s="932"/>
    </row>
    <row r="209" spans="1:12" s="106" customFormat="1" ht="15.75" hidden="1" customHeight="1" outlineLevel="1">
      <c r="A209" s="932"/>
      <c r="B209" s="1086"/>
      <c r="C209" s="1095"/>
      <c r="D209" s="1091"/>
      <c r="E209" s="1091"/>
      <c r="F209" s="1093"/>
      <c r="G209" s="98"/>
      <c r="H209" s="839"/>
      <c r="I209" s="1091"/>
      <c r="J209" s="1084"/>
      <c r="K209" s="1084"/>
      <c r="L209" s="932"/>
    </row>
    <row r="210" spans="1:12" s="106" customFormat="1" ht="15.75" hidden="1" customHeight="1" outlineLevel="1">
      <c r="A210" s="932"/>
      <c r="B210" s="1087"/>
      <c r="C210" s="1096"/>
      <c r="D210" s="1092"/>
      <c r="E210" s="1092"/>
      <c r="F210" s="1094"/>
      <c r="G210" s="103"/>
      <c r="H210" s="840"/>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839"/>
      <c r="I211" s="1091"/>
      <c r="J211" s="1083"/>
      <c r="K211" s="1083"/>
      <c r="L211" s="932"/>
    </row>
    <row r="212" spans="1:12" s="106" customFormat="1" ht="15.75" hidden="1" customHeight="1" outlineLevel="1">
      <c r="A212" s="932"/>
      <c r="B212" s="1086"/>
      <c r="C212" s="1095"/>
      <c r="D212" s="1091"/>
      <c r="E212" s="1091"/>
      <c r="F212" s="1093"/>
      <c r="G212" s="98"/>
      <c r="H212" s="839"/>
      <c r="I212" s="1091"/>
      <c r="J212" s="1084"/>
      <c r="K212" s="1084"/>
      <c r="L212" s="932"/>
    </row>
    <row r="213" spans="1:12" s="106" customFormat="1" ht="15.75" hidden="1" customHeight="1" outlineLevel="1">
      <c r="A213" s="932"/>
      <c r="B213" s="1087"/>
      <c r="C213" s="1096"/>
      <c r="D213" s="1092"/>
      <c r="E213" s="1092"/>
      <c r="F213" s="1094"/>
      <c r="G213" s="103"/>
      <c r="H213" s="840"/>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839"/>
      <c r="I214" s="1091"/>
      <c r="J214" s="1083"/>
      <c r="K214" s="1083"/>
      <c r="L214" s="932"/>
    </row>
    <row r="215" spans="1:12" s="106" customFormat="1" ht="15.75" hidden="1" customHeight="1" outlineLevel="1">
      <c r="A215" s="932"/>
      <c r="B215" s="1086"/>
      <c r="C215" s="1095"/>
      <c r="D215" s="1091"/>
      <c r="E215" s="1091"/>
      <c r="F215" s="1093"/>
      <c r="G215" s="98"/>
      <c r="H215" s="839"/>
      <c r="I215" s="1091"/>
      <c r="J215" s="1084"/>
      <c r="K215" s="1084"/>
      <c r="L215" s="932"/>
    </row>
    <row r="216" spans="1:12" s="106" customFormat="1" ht="15.75" hidden="1" customHeight="1" outlineLevel="1">
      <c r="A216" s="932"/>
      <c r="B216" s="1087"/>
      <c r="C216" s="1096"/>
      <c r="D216" s="1092"/>
      <c r="E216" s="1092"/>
      <c r="F216" s="1094"/>
      <c r="G216" s="103"/>
      <c r="H216" s="840"/>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839"/>
      <c r="I217" s="1091"/>
      <c r="J217" s="1083"/>
      <c r="K217" s="1083"/>
      <c r="L217" s="932"/>
    </row>
    <row r="218" spans="1:12" s="106" customFormat="1" ht="15.75" hidden="1" customHeight="1" outlineLevel="1">
      <c r="A218" s="932"/>
      <c r="B218" s="1086"/>
      <c r="C218" s="1095"/>
      <c r="D218" s="1091"/>
      <c r="E218" s="1091"/>
      <c r="F218" s="1093"/>
      <c r="G218" s="98"/>
      <c r="H218" s="839"/>
      <c r="I218" s="1091"/>
      <c r="J218" s="1084"/>
      <c r="K218" s="1084"/>
      <c r="L218" s="932"/>
    </row>
    <row r="219" spans="1:12" s="106" customFormat="1" ht="15.75" hidden="1" customHeight="1" outlineLevel="1">
      <c r="A219" s="932"/>
      <c r="B219" s="1087"/>
      <c r="C219" s="1096"/>
      <c r="D219" s="1092"/>
      <c r="E219" s="1092"/>
      <c r="F219" s="1094"/>
      <c r="G219" s="103"/>
      <c r="H219" s="840"/>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839"/>
      <c r="I220" s="1091"/>
      <c r="J220" s="1083"/>
      <c r="K220" s="1083"/>
      <c r="L220" s="932"/>
    </row>
    <row r="221" spans="1:12" s="106" customFormat="1" ht="15.75" hidden="1" customHeight="1" outlineLevel="1">
      <c r="A221" s="932"/>
      <c r="B221" s="1086"/>
      <c r="C221" s="1095"/>
      <c r="D221" s="1091"/>
      <c r="E221" s="1091"/>
      <c r="F221" s="1093"/>
      <c r="G221" s="98"/>
      <c r="H221" s="839"/>
      <c r="I221" s="1091"/>
      <c r="J221" s="1084"/>
      <c r="K221" s="1084"/>
      <c r="L221" s="932"/>
    </row>
    <row r="222" spans="1:12" s="106" customFormat="1" ht="15.75" hidden="1" customHeight="1" outlineLevel="1">
      <c r="A222" s="932"/>
      <c r="B222" s="1087"/>
      <c r="C222" s="1096"/>
      <c r="D222" s="1092"/>
      <c r="E222" s="1092"/>
      <c r="F222" s="1094"/>
      <c r="G222" s="103"/>
      <c r="H222" s="840"/>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839"/>
      <c r="I223" s="1091"/>
      <c r="J223" s="1083"/>
      <c r="K223" s="1083"/>
      <c r="L223" s="932"/>
    </row>
    <row r="224" spans="1:12" s="106" customFormat="1" ht="15.75" hidden="1" customHeight="1" outlineLevel="1">
      <c r="A224" s="932"/>
      <c r="B224" s="1086"/>
      <c r="C224" s="1095"/>
      <c r="D224" s="1091"/>
      <c r="E224" s="1091"/>
      <c r="F224" s="1093"/>
      <c r="G224" s="98"/>
      <c r="H224" s="839"/>
      <c r="I224" s="1091"/>
      <c r="J224" s="1084"/>
      <c r="K224" s="1084"/>
      <c r="L224" s="932"/>
    </row>
    <row r="225" spans="1:12" s="106" customFormat="1" ht="15.75" hidden="1" customHeight="1" outlineLevel="1">
      <c r="A225" s="932"/>
      <c r="B225" s="1087"/>
      <c r="C225" s="1096"/>
      <c r="D225" s="1092"/>
      <c r="E225" s="1092"/>
      <c r="F225" s="1094"/>
      <c r="G225" s="103"/>
      <c r="H225" s="840"/>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839"/>
      <c r="I226" s="1091"/>
      <c r="J226" s="1083"/>
      <c r="K226" s="1083"/>
      <c r="L226" s="932"/>
    </row>
    <row r="227" spans="1:12" s="106" customFormat="1" ht="15.75" hidden="1" customHeight="1" outlineLevel="1">
      <c r="A227" s="932"/>
      <c r="B227" s="1086"/>
      <c r="C227" s="1095"/>
      <c r="D227" s="1091"/>
      <c r="E227" s="1091"/>
      <c r="F227" s="1093"/>
      <c r="G227" s="98"/>
      <c r="H227" s="839"/>
      <c r="I227" s="1091"/>
      <c r="J227" s="1084"/>
      <c r="K227" s="1084"/>
      <c r="L227" s="932"/>
    </row>
    <row r="228" spans="1:12" s="106" customFormat="1" ht="15.75" hidden="1" customHeight="1" outlineLevel="1">
      <c r="A228" s="932"/>
      <c r="B228" s="1087"/>
      <c r="C228" s="1096"/>
      <c r="D228" s="1092"/>
      <c r="E228" s="1092"/>
      <c r="F228" s="1094"/>
      <c r="G228" s="103"/>
      <c r="H228" s="840"/>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839"/>
      <c r="I229" s="1091"/>
      <c r="J229" s="1083"/>
      <c r="K229" s="1083"/>
      <c r="L229" s="932"/>
    </row>
    <row r="230" spans="1:12" s="106" customFormat="1" ht="15.75" hidden="1" customHeight="1" outlineLevel="1">
      <c r="A230" s="932"/>
      <c r="B230" s="1086"/>
      <c r="C230" s="1095"/>
      <c r="D230" s="1091"/>
      <c r="E230" s="1091"/>
      <c r="F230" s="1093"/>
      <c r="G230" s="98"/>
      <c r="H230" s="839"/>
      <c r="I230" s="1091"/>
      <c r="J230" s="1084"/>
      <c r="K230" s="1084"/>
      <c r="L230" s="932"/>
    </row>
    <row r="231" spans="1:12" s="106" customFormat="1" ht="15.75" hidden="1" customHeight="1" outlineLevel="1">
      <c r="A231" s="932"/>
      <c r="B231" s="1087"/>
      <c r="C231" s="1096"/>
      <c r="D231" s="1092"/>
      <c r="E231" s="1092"/>
      <c r="F231" s="1094"/>
      <c r="G231" s="103"/>
      <c r="H231" s="840"/>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839"/>
      <c r="I232" s="1091"/>
      <c r="J232" s="1083"/>
      <c r="K232" s="1083"/>
      <c r="L232" s="932"/>
    </row>
    <row r="233" spans="1:12" s="106" customFormat="1" ht="15.75" hidden="1" customHeight="1" outlineLevel="1">
      <c r="A233" s="932"/>
      <c r="B233" s="1086"/>
      <c r="C233" s="1095"/>
      <c r="D233" s="1091"/>
      <c r="E233" s="1091"/>
      <c r="F233" s="1093"/>
      <c r="G233" s="98"/>
      <c r="H233" s="839"/>
      <c r="I233" s="1091"/>
      <c r="J233" s="1084"/>
      <c r="K233" s="1084"/>
      <c r="L233" s="932"/>
    </row>
    <row r="234" spans="1:12" s="106" customFormat="1" ht="15.75" hidden="1" customHeight="1" outlineLevel="1">
      <c r="A234" s="932"/>
      <c r="B234" s="1087"/>
      <c r="C234" s="1096"/>
      <c r="D234" s="1092"/>
      <c r="E234" s="1092"/>
      <c r="F234" s="1094"/>
      <c r="G234" s="103"/>
      <c r="H234" s="840"/>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839"/>
      <c r="I235" s="1091"/>
      <c r="J235" s="1083"/>
      <c r="K235" s="1083"/>
      <c r="L235" s="932"/>
    </row>
    <row r="236" spans="1:12" s="106" customFormat="1" ht="15.75" hidden="1" customHeight="1" outlineLevel="1">
      <c r="A236" s="932"/>
      <c r="B236" s="1086"/>
      <c r="C236" s="1095"/>
      <c r="D236" s="1091"/>
      <c r="E236" s="1091"/>
      <c r="F236" s="1093"/>
      <c r="G236" s="98"/>
      <c r="H236" s="839"/>
      <c r="I236" s="1091"/>
      <c r="J236" s="1084"/>
      <c r="K236" s="1084"/>
      <c r="L236" s="932"/>
    </row>
    <row r="237" spans="1:12" s="106" customFormat="1" ht="15.75" hidden="1" customHeight="1" outlineLevel="1">
      <c r="A237" s="932"/>
      <c r="B237" s="1087"/>
      <c r="C237" s="1096"/>
      <c r="D237" s="1092"/>
      <c r="E237" s="1092"/>
      <c r="F237" s="1094"/>
      <c r="G237" s="103"/>
      <c r="H237" s="840"/>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839"/>
      <c r="I238" s="1091"/>
      <c r="J238" s="1083"/>
      <c r="K238" s="1083"/>
      <c r="L238" s="932"/>
    </row>
    <row r="239" spans="1:12" s="106" customFormat="1" ht="15.75" hidden="1" customHeight="1" outlineLevel="1">
      <c r="A239" s="932"/>
      <c r="B239" s="1086"/>
      <c r="C239" s="1095"/>
      <c r="D239" s="1091"/>
      <c r="E239" s="1091"/>
      <c r="F239" s="1093"/>
      <c r="G239" s="98"/>
      <c r="H239" s="839"/>
      <c r="I239" s="1091"/>
      <c r="J239" s="1084"/>
      <c r="K239" s="1084"/>
      <c r="L239" s="932"/>
    </row>
    <row r="240" spans="1:12" s="106" customFormat="1" ht="15.75" hidden="1" customHeight="1" outlineLevel="1">
      <c r="A240" s="932"/>
      <c r="B240" s="1087"/>
      <c r="C240" s="1096"/>
      <c r="D240" s="1092"/>
      <c r="E240" s="1092"/>
      <c r="F240" s="1094"/>
      <c r="G240" s="103"/>
      <c r="H240" s="840"/>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839"/>
      <c r="I241" s="1091"/>
      <c r="J241" s="1083"/>
      <c r="K241" s="1083"/>
      <c r="L241" s="932"/>
    </row>
    <row r="242" spans="1:12" s="106" customFormat="1" ht="15.75" hidden="1" customHeight="1" outlineLevel="1">
      <c r="A242" s="932"/>
      <c r="B242" s="1086"/>
      <c r="C242" s="1095"/>
      <c r="D242" s="1091"/>
      <c r="E242" s="1091"/>
      <c r="F242" s="1093"/>
      <c r="G242" s="98"/>
      <c r="H242" s="839"/>
      <c r="I242" s="1091"/>
      <c r="J242" s="1084"/>
      <c r="K242" s="1084"/>
      <c r="L242" s="932"/>
    </row>
    <row r="243" spans="1:12" s="106" customFormat="1" ht="15.75" hidden="1" customHeight="1" outlineLevel="1">
      <c r="A243" s="932"/>
      <c r="B243" s="1087"/>
      <c r="C243" s="1096"/>
      <c r="D243" s="1092"/>
      <c r="E243" s="1092"/>
      <c r="F243" s="1094"/>
      <c r="G243" s="103"/>
      <c r="H243" s="840"/>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839"/>
      <c r="I244" s="1091"/>
      <c r="J244" s="1083"/>
      <c r="K244" s="1083"/>
      <c r="L244" s="932"/>
    </row>
    <row r="245" spans="1:12" s="106" customFormat="1" ht="15.75" hidden="1" customHeight="1" outlineLevel="1">
      <c r="A245" s="932"/>
      <c r="B245" s="1086"/>
      <c r="C245" s="1095"/>
      <c r="D245" s="1091"/>
      <c r="E245" s="1091"/>
      <c r="F245" s="1093"/>
      <c r="G245" s="98"/>
      <c r="H245" s="839"/>
      <c r="I245" s="1091"/>
      <c r="J245" s="1084"/>
      <c r="K245" s="1084"/>
      <c r="L245" s="932"/>
    </row>
    <row r="246" spans="1:12" s="106" customFormat="1" ht="15.75" hidden="1" customHeight="1" outlineLevel="1">
      <c r="A246" s="932"/>
      <c r="B246" s="1087"/>
      <c r="C246" s="1096"/>
      <c r="D246" s="1092"/>
      <c r="E246" s="1092"/>
      <c r="F246" s="1094"/>
      <c r="G246" s="103"/>
      <c r="H246" s="840"/>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839"/>
      <c r="I247" s="1091"/>
      <c r="J247" s="1083"/>
      <c r="K247" s="1083"/>
      <c r="L247" s="932"/>
    </row>
    <row r="248" spans="1:12" s="106" customFormat="1" ht="15.75" hidden="1" customHeight="1" outlineLevel="1">
      <c r="A248" s="932"/>
      <c r="B248" s="1086"/>
      <c r="C248" s="1095"/>
      <c r="D248" s="1091"/>
      <c r="E248" s="1091"/>
      <c r="F248" s="1093"/>
      <c r="G248" s="98"/>
      <c r="H248" s="839"/>
      <c r="I248" s="1091"/>
      <c r="J248" s="1084"/>
      <c r="K248" s="1084"/>
      <c r="L248" s="932"/>
    </row>
    <row r="249" spans="1:12" s="106" customFormat="1" ht="15.75" hidden="1" customHeight="1" outlineLevel="1">
      <c r="A249" s="932"/>
      <c r="B249" s="1087"/>
      <c r="C249" s="1096"/>
      <c r="D249" s="1092"/>
      <c r="E249" s="1092"/>
      <c r="F249" s="1094"/>
      <c r="G249" s="103"/>
      <c r="H249" s="840"/>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839"/>
      <c r="I250" s="1091"/>
      <c r="J250" s="1083"/>
      <c r="K250" s="1083"/>
      <c r="L250" s="932"/>
    </row>
    <row r="251" spans="1:12" s="106" customFormat="1" ht="15.75" hidden="1" customHeight="1" outlineLevel="1">
      <c r="A251" s="932"/>
      <c r="B251" s="1086"/>
      <c r="C251" s="1095"/>
      <c r="D251" s="1091"/>
      <c r="E251" s="1091"/>
      <c r="F251" s="1093"/>
      <c r="G251" s="98"/>
      <c r="H251" s="839"/>
      <c r="I251" s="1091"/>
      <c r="J251" s="1084"/>
      <c r="K251" s="1084"/>
      <c r="L251" s="932"/>
    </row>
    <row r="252" spans="1:12" s="106" customFormat="1" ht="15.75" hidden="1" customHeight="1" outlineLevel="1">
      <c r="A252" s="932"/>
      <c r="B252" s="1087"/>
      <c r="C252" s="1096"/>
      <c r="D252" s="1092"/>
      <c r="E252" s="1092"/>
      <c r="F252" s="1094"/>
      <c r="G252" s="103"/>
      <c r="H252" s="840"/>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839"/>
      <c r="I253" s="1091"/>
      <c r="J253" s="1083"/>
      <c r="K253" s="1083"/>
      <c r="L253" s="932"/>
    </row>
    <row r="254" spans="1:12" s="106" customFormat="1" ht="15.75" hidden="1" customHeight="1" outlineLevel="1">
      <c r="A254" s="932"/>
      <c r="B254" s="1086"/>
      <c r="C254" s="1095"/>
      <c r="D254" s="1091"/>
      <c r="E254" s="1091"/>
      <c r="F254" s="1093"/>
      <c r="G254" s="98"/>
      <c r="H254" s="839"/>
      <c r="I254" s="1091"/>
      <c r="J254" s="1084"/>
      <c r="K254" s="1084"/>
      <c r="L254" s="932"/>
    </row>
    <row r="255" spans="1:12" s="106" customFormat="1" ht="15.75" hidden="1" customHeight="1" outlineLevel="1">
      <c r="A255" s="932"/>
      <c r="B255" s="1087"/>
      <c r="C255" s="1096"/>
      <c r="D255" s="1092"/>
      <c r="E255" s="1092"/>
      <c r="F255" s="1094"/>
      <c r="G255" s="103"/>
      <c r="H255" s="840"/>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839"/>
      <c r="I256" s="1091"/>
      <c r="J256" s="1083"/>
      <c r="K256" s="1083"/>
      <c r="L256" s="932"/>
    </row>
    <row r="257" spans="1:12" s="106" customFormat="1" ht="15.75" hidden="1" customHeight="1" outlineLevel="1">
      <c r="A257" s="932"/>
      <c r="B257" s="1086"/>
      <c r="C257" s="1095"/>
      <c r="D257" s="1091"/>
      <c r="E257" s="1091"/>
      <c r="F257" s="1093"/>
      <c r="G257" s="98"/>
      <c r="H257" s="839"/>
      <c r="I257" s="1091"/>
      <c r="J257" s="1084"/>
      <c r="K257" s="1084"/>
      <c r="L257" s="932"/>
    </row>
    <row r="258" spans="1:12" s="106" customFormat="1" ht="15.75" hidden="1" customHeight="1" outlineLevel="1">
      <c r="A258" s="932"/>
      <c r="B258" s="1087"/>
      <c r="C258" s="1096"/>
      <c r="D258" s="1092"/>
      <c r="E258" s="1092"/>
      <c r="F258" s="1094"/>
      <c r="G258" s="103"/>
      <c r="H258" s="840"/>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839"/>
      <c r="I259" s="1091"/>
      <c r="J259" s="1083"/>
      <c r="K259" s="1083"/>
      <c r="L259" s="932"/>
    </row>
    <row r="260" spans="1:12" s="106" customFormat="1" ht="15.75" hidden="1" customHeight="1" outlineLevel="1">
      <c r="A260" s="932"/>
      <c r="B260" s="1086"/>
      <c r="C260" s="1095"/>
      <c r="D260" s="1091"/>
      <c r="E260" s="1091"/>
      <c r="F260" s="1093"/>
      <c r="G260" s="98"/>
      <c r="H260" s="839"/>
      <c r="I260" s="1091"/>
      <c r="J260" s="1084"/>
      <c r="K260" s="1084"/>
      <c r="L260" s="932"/>
    </row>
    <row r="261" spans="1:12" s="106" customFormat="1" ht="15.75" hidden="1" customHeight="1" outlineLevel="1">
      <c r="A261" s="932"/>
      <c r="B261" s="1087"/>
      <c r="C261" s="1096"/>
      <c r="D261" s="1092"/>
      <c r="E261" s="1092"/>
      <c r="F261" s="1094"/>
      <c r="G261" s="103"/>
      <c r="H261" s="840"/>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839"/>
      <c r="I262" s="1091"/>
      <c r="J262" s="1083"/>
      <c r="K262" s="1083"/>
      <c r="L262" s="932"/>
    </row>
    <row r="263" spans="1:12" s="106" customFormat="1" ht="15.75" hidden="1" customHeight="1" outlineLevel="1">
      <c r="A263" s="932"/>
      <c r="B263" s="1086"/>
      <c r="C263" s="1095"/>
      <c r="D263" s="1091"/>
      <c r="E263" s="1091"/>
      <c r="F263" s="1093"/>
      <c r="G263" s="98"/>
      <c r="H263" s="839"/>
      <c r="I263" s="1091"/>
      <c r="J263" s="1084"/>
      <c r="K263" s="1084"/>
      <c r="L263" s="932"/>
    </row>
    <row r="264" spans="1:12" s="106" customFormat="1" ht="15.75" hidden="1" customHeight="1" outlineLevel="1">
      <c r="A264" s="932"/>
      <c r="B264" s="1087"/>
      <c r="C264" s="1096"/>
      <c r="D264" s="1092"/>
      <c r="E264" s="1092"/>
      <c r="F264" s="1094"/>
      <c r="G264" s="103"/>
      <c r="H264" s="840"/>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839"/>
      <c r="I265" s="1091"/>
      <c r="J265" s="1083"/>
      <c r="K265" s="1083"/>
      <c r="L265" s="932"/>
    </row>
    <row r="266" spans="1:12" s="106" customFormat="1" ht="15.75" hidden="1" customHeight="1" outlineLevel="1">
      <c r="A266" s="932"/>
      <c r="B266" s="1086"/>
      <c r="C266" s="1095"/>
      <c r="D266" s="1091"/>
      <c r="E266" s="1091"/>
      <c r="F266" s="1093"/>
      <c r="G266" s="98"/>
      <c r="H266" s="839"/>
      <c r="I266" s="1091"/>
      <c r="J266" s="1084"/>
      <c r="K266" s="1084"/>
      <c r="L266" s="932"/>
    </row>
    <row r="267" spans="1:12" s="106" customFormat="1" ht="15.75" hidden="1" customHeight="1" outlineLevel="1">
      <c r="A267" s="932"/>
      <c r="B267" s="1087"/>
      <c r="C267" s="1096"/>
      <c r="D267" s="1092"/>
      <c r="E267" s="1092"/>
      <c r="F267" s="1094"/>
      <c r="G267" s="103"/>
      <c r="H267" s="840"/>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839"/>
      <c r="I268" s="1091"/>
      <c r="J268" s="1083"/>
      <c r="K268" s="1083"/>
      <c r="L268" s="932"/>
    </row>
    <row r="269" spans="1:12" s="106" customFormat="1" ht="15.75" hidden="1" customHeight="1" outlineLevel="1">
      <c r="A269" s="932"/>
      <c r="B269" s="1086"/>
      <c r="C269" s="1095"/>
      <c r="D269" s="1091"/>
      <c r="E269" s="1091"/>
      <c r="F269" s="1093"/>
      <c r="G269" s="98"/>
      <c r="H269" s="839"/>
      <c r="I269" s="1091"/>
      <c r="J269" s="1084"/>
      <c r="K269" s="1084"/>
      <c r="L269" s="932"/>
    </row>
    <row r="270" spans="1:12" s="106" customFormat="1" ht="15.75" hidden="1" customHeight="1" outlineLevel="1">
      <c r="A270" s="932"/>
      <c r="B270" s="1087"/>
      <c r="C270" s="1096"/>
      <c r="D270" s="1092"/>
      <c r="E270" s="1092"/>
      <c r="F270" s="1094"/>
      <c r="G270" s="103"/>
      <c r="H270" s="840"/>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839"/>
      <c r="I271" s="1091"/>
      <c r="J271" s="1083"/>
      <c r="K271" s="1083"/>
      <c r="L271" s="932"/>
    </row>
    <row r="272" spans="1:12" s="106" customFormat="1" ht="15.75" hidden="1" customHeight="1" outlineLevel="1">
      <c r="A272" s="932"/>
      <c r="B272" s="1086"/>
      <c r="C272" s="1095"/>
      <c r="D272" s="1091"/>
      <c r="E272" s="1091"/>
      <c r="F272" s="1093"/>
      <c r="G272" s="98"/>
      <c r="H272" s="839"/>
      <c r="I272" s="1091"/>
      <c r="J272" s="1084"/>
      <c r="K272" s="1084"/>
      <c r="L272" s="932"/>
    </row>
    <row r="273" spans="1:12" s="106" customFormat="1" ht="15.75" hidden="1" customHeight="1" outlineLevel="1">
      <c r="A273" s="932"/>
      <c r="B273" s="1087"/>
      <c r="C273" s="1096"/>
      <c r="D273" s="1092"/>
      <c r="E273" s="1092"/>
      <c r="F273" s="1094"/>
      <c r="G273" s="103"/>
      <c r="H273" s="840"/>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839"/>
      <c r="I274" s="1091"/>
      <c r="J274" s="1083"/>
      <c r="K274" s="1083"/>
      <c r="L274" s="932"/>
    </row>
    <row r="275" spans="1:12" s="106" customFormat="1" ht="15.75" hidden="1" customHeight="1" outlineLevel="1">
      <c r="A275" s="932"/>
      <c r="B275" s="1086"/>
      <c r="C275" s="1095"/>
      <c r="D275" s="1091"/>
      <c r="E275" s="1091"/>
      <c r="F275" s="1093"/>
      <c r="G275" s="98"/>
      <c r="H275" s="839"/>
      <c r="I275" s="1091"/>
      <c r="J275" s="1084"/>
      <c r="K275" s="1084"/>
      <c r="L275" s="932"/>
    </row>
    <row r="276" spans="1:12" s="106" customFormat="1" ht="15.75" hidden="1" customHeight="1" outlineLevel="1">
      <c r="A276" s="932"/>
      <c r="B276" s="1087"/>
      <c r="C276" s="1096"/>
      <c r="D276" s="1092"/>
      <c r="E276" s="1092"/>
      <c r="F276" s="1094"/>
      <c r="G276" s="103"/>
      <c r="H276" s="840"/>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839"/>
      <c r="I277" s="1091"/>
      <c r="J277" s="1083"/>
      <c r="K277" s="1083"/>
      <c r="L277" s="932"/>
    </row>
    <row r="278" spans="1:12" s="106" customFormat="1" ht="15.75" hidden="1" customHeight="1" outlineLevel="1">
      <c r="A278" s="932"/>
      <c r="B278" s="1086"/>
      <c r="C278" s="1095"/>
      <c r="D278" s="1091"/>
      <c r="E278" s="1091"/>
      <c r="F278" s="1093"/>
      <c r="G278" s="98"/>
      <c r="H278" s="839"/>
      <c r="I278" s="1091"/>
      <c r="J278" s="1084"/>
      <c r="K278" s="1084"/>
      <c r="L278" s="932"/>
    </row>
    <row r="279" spans="1:12" s="106" customFormat="1" ht="15.75" hidden="1" customHeight="1" outlineLevel="1">
      <c r="A279" s="932"/>
      <c r="B279" s="1087"/>
      <c r="C279" s="1096"/>
      <c r="D279" s="1092"/>
      <c r="E279" s="1092"/>
      <c r="F279" s="1094"/>
      <c r="G279" s="103"/>
      <c r="H279" s="840"/>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839"/>
      <c r="I280" s="1091"/>
      <c r="J280" s="1083"/>
      <c r="K280" s="1083"/>
      <c r="L280" s="932"/>
    </row>
    <row r="281" spans="1:12" s="106" customFormat="1" ht="15.75" hidden="1" customHeight="1" outlineLevel="1">
      <c r="A281" s="932"/>
      <c r="B281" s="1086"/>
      <c r="C281" s="1095"/>
      <c r="D281" s="1091"/>
      <c r="E281" s="1091"/>
      <c r="F281" s="1093"/>
      <c r="G281" s="98"/>
      <c r="H281" s="839"/>
      <c r="I281" s="1091"/>
      <c r="J281" s="1084"/>
      <c r="K281" s="1084"/>
      <c r="L281" s="932"/>
    </row>
    <row r="282" spans="1:12" s="106" customFormat="1" ht="15.75" hidden="1" customHeight="1" outlineLevel="1">
      <c r="A282" s="932"/>
      <c r="B282" s="1087"/>
      <c r="C282" s="1096"/>
      <c r="D282" s="1092"/>
      <c r="E282" s="1092"/>
      <c r="F282" s="1094"/>
      <c r="G282" s="103"/>
      <c r="H282" s="840"/>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839"/>
      <c r="I283" s="1091"/>
      <c r="J283" s="1083"/>
      <c r="K283" s="1083"/>
      <c r="L283" s="932"/>
    </row>
    <row r="284" spans="1:12" s="106" customFormat="1" ht="15.75" hidden="1" customHeight="1" outlineLevel="1">
      <c r="A284" s="932"/>
      <c r="B284" s="1086"/>
      <c r="C284" s="1095"/>
      <c r="D284" s="1091"/>
      <c r="E284" s="1091"/>
      <c r="F284" s="1093"/>
      <c r="G284" s="98"/>
      <c r="H284" s="839"/>
      <c r="I284" s="1091"/>
      <c r="J284" s="1084"/>
      <c r="K284" s="1084"/>
      <c r="L284" s="932"/>
    </row>
    <row r="285" spans="1:12" s="106" customFormat="1" ht="15.75" hidden="1" customHeight="1" outlineLevel="1">
      <c r="A285" s="932"/>
      <c r="B285" s="1087"/>
      <c r="C285" s="1096"/>
      <c r="D285" s="1092"/>
      <c r="E285" s="1092"/>
      <c r="F285" s="1094"/>
      <c r="G285" s="103"/>
      <c r="H285" s="840"/>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839"/>
      <c r="I286" s="1091"/>
      <c r="J286" s="1083"/>
      <c r="K286" s="1083"/>
      <c r="L286" s="932"/>
    </row>
    <row r="287" spans="1:12" s="106" customFormat="1" ht="15.75" hidden="1" customHeight="1" outlineLevel="1">
      <c r="A287" s="932"/>
      <c r="B287" s="1086"/>
      <c r="C287" s="1095"/>
      <c r="D287" s="1091"/>
      <c r="E287" s="1091"/>
      <c r="F287" s="1093"/>
      <c r="G287" s="98"/>
      <c r="H287" s="839"/>
      <c r="I287" s="1091"/>
      <c r="J287" s="1084"/>
      <c r="K287" s="1084"/>
      <c r="L287" s="932"/>
    </row>
    <row r="288" spans="1:12" s="106" customFormat="1" ht="15.75" hidden="1" customHeight="1" outlineLevel="1">
      <c r="A288" s="932"/>
      <c r="B288" s="1087"/>
      <c r="C288" s="1096"/>
      <c r="D288" s="1092"/>
      <c r="E288" s="1092"/>
      <c r="F288" s="1094"/>
      <c r="G288" s="103"/>
      <c r="H288" s="840"/>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839"/>
      <c r="I289" s="1091"/>
      <c r="J289" s="1083"/>
      <c r="K289" s="1083"/>
      <c r="L289" s="932"/>
    </row>
    <row r="290" spans="1:12" s="106" customFormat="1" ht="15.75" hidden="1" customHeight="1" outlineLevel="1">
      <c r="A290" s="932"/>
      <c r="B290" s="1086"/>
      <c r="C290" s="1095"/>
      <c r="D290" s="1091"/>
      <c r="E290" s="1091"/>
      <c r="F290" s="1093"/>
      <c r="G290" s="98"/>
      <c r="H290" s="839"/>
      <c r="I290" s="1091"/>
      <c r="J290" s="1084"/>
      <c r="K290" s="1084"/>
      <c r="L290" s="932"/>
    </row>
    <row r="291" spans="1:12" s="106" customFormat="1" ht="15.75" hidden="1" customHeight="1" outlineLevel="1">
      <c r="A291" s="932"/>
      <c r="B291" s="1087"/>
      <c r="C291" s="1096"/>
      <c r="D291" s="1092"/>
      <c r="E291" s="1092"/>
      <c r="F291" s="1094"/>
      <c r="G291" s="103"/>
      <c r="H291" s="840"/>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839"/>
      <c r="I292" s="1091"/>
      <c r="J292" s="1083"/>
      <c r="K292" s="1083"/>
      <c r="L292" s="932"/>
    </row>
    <row r="293" spans="1:12" s="106" customFormat="1" ht="15.75" hidden="1" customHeight="1" outlineLevel="1">
      <c r="A293" s="932"/>
      <c r="B293" s="1086"/>
      <c r="C293" s="1095"/>
      <c r="D293" s="1091"/>
      <c r="E293" s="1091"/>
      <c r="F293" s="1093"/>
      <c r="G293" s="98"/>
      <c r="H293" s="839"/>
      <c r="I293" s="1091"/>
      <c r="J293" s="1084"/>
      <c r="K293" s="1084"/>
      <c r="L293" s="932"/>
    </row>
    <row r="294" spans="1:12" s="106" customFormat="1" ht="15.75" hidden="1" customHeight="1" outlineLevel="1">
      <c r="A294" s="932"/>
      <c r="B294" s="1087"/>
      <c r="C294" s="1096"/>
      <c r="D294" s="1092"/>
      <c r="E294" s="1092"/>
      <c r="F294" s="1094"/>
      <c r="G294" s="103"/>
      <c r="H294" s="840"/>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839"/>
      <c r="I295" s="1091"/>
      <c r="J295" s="1083"/>
      <c r="K295" s="1083"/>
      <c r="L295" s="932"/>
    </row>
    <row r="296" spans="1:12" s="106" customFormat="1" ht="15.75" hidden="1" customHeight="1" outlineLevel="1">
      <c r="A296" s="932"/>
      <c r="B296" s="1086"/>
      <c r="C296" s="1095"/>
      <c r="D296" s="1091"/>
      <c r="E296" s="1091"/>
      <c r="F296" s="1093"/>
      <c r="G296" s="98"/>
      <c r="H296" s="839"/>
      <c r="I296" s="1091"/>
      <c r="J296" s="1084"/>
      <c r="K296" s="1084"/>
      <c r="L296" s="932"/>
    </row>
    <row r="297" spans="1:12" s="106" customFormat="1" ht="15.75" hidden="1" customHeight="1" outlineLevel="1">
      <c r="A297" s="932"/>
      <c r="B297" s="1087"/>
      <c r="C297" s="1096"/>
      <c r="D297" s="1092"/>
      <c r="E297" s="1092"/>
      <c r="F297" s="1094"/>
      <c r="G297" s="103"/>
      <c r="H297" s="840"/>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839"/>
      <c r="I298" s="1091"/>
      <c r="J298" s="1083"/>
      <c r="K298" s="1083"/>
      <c r="L298" s="932"/>
    </row>
    <row r="299" spans="1:12" s="106" customFormat="1" ht="15.75" hidden="1" customHeight="1" outlineLevel="1">
      <c r="A299" s="932"/>
      <c r="B299" s="1086"/>
      <c r="C299" s="1095"/>
      <c r="D299" s="1091"/>
      <c r="E299" s="1091"/>
      <c r="F299" s="1093"/>
      <c r="G299" s="98"/>
      <c r="H299" s="839"/>
      <c r="I299" s="1091"/>
      <c r="J299" s="1084"/>
      <c r="K299" s="1084"/>
      <c r="L299" s="932"/>
    </row>
    <row r="300" spans="1:12" s="106" customFormat="1" ht="15.75" hidden="1" customHeight="1" outlineLevel="1">
      <c r="A300" s="932"/>
      <c r="B300" s="1087"/>
      <c r="C300" s="1096"/>
      <c r="D300" s="1092"/>
      <c r="E300" s="1092"/>
      <c r="F300" s="1094"/>
      <c r="G300" s="103"/>
      <c r="H300" s="840"/>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839"/>
      <c r="I301" s="1091"/>
      <c r="J301" s="1083"/>
      <c r="K301" s="1083"/>
      <c r="L301" s="932"/>
    </row>
    <row r="302" spans="1:12" s="106" customFormat="1" ht="15.75" hidden="1" customHeight="1" outlineLevel="1">
      <c r="A302" s="932"/>
      <c r="B302" s="1086"/>
      <c r="C302" s="1095"/>
      <c r="D302" s="1091"/>
      <c r="E302" s="1091"/>
      <c r="F302" s="1093"/>
      <c r="G302" s="98"/>
      <c r="H302" s="839"/>
      <c r="I302" s="1091"/>
      <c r="J302" s="1084"/>
      <c r="K302" s="1084"/>
      <c r="L302" s="932"/>
    </row>
    <row r="303" spans="1:12" s="106" customFormat="1" ht="15.75" hidden="1" customHeight="1" outlineLevel="1">
      <c r="A303" s="932"/>
      <c r="B303" s="1087"/>
      <c r="C303" s="1096"/>
      <c r="D303" s="1092"/>
      <c r="E303" s="1092"/>
      <c r="F303" s="1094"/>
      <c r="G303" s="103"/>
      <c r="H303" s="840"/>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839"/>
      <c r="I304" s="1091"/>
      <c r="J304" s="1083"/>
      <c r="K304" s="1083"/>
      <c r="L304" s="932"/>
    </row>
    <row r="305" spans="1:12" s="106" customFormat="1" ht="15.75" hidden="1" customHeight="1" outlineLevel="1">
      <c r="A305" s="932"/>
      <c r="B305" s="1086"/>
      <c r="C305" s="1095"/>
      <c r="D305" s="1091"/>
      <c r="E305" s="1091"/>
      <c r="F305" s="1093"/>
      <c r="G305" s="98"/>
      <c r="H305" s="839"/>
      <c r="I305" s="1091"/>
      <c r="J305" s="1084"/>
      <c r="K305" s="1084"/>
      <c r="L305" s="932"/>
    </row>
    <row r="306" spans="1:12" s="106" customFormat="1" ht="15.75" hidden="1" customHeight="1" outlineLevel="1">
      <c r="A306" s="932"/>
      <c r="B306" s="1087"/>
      <c r="C306" s="1096"/>
      <c r="D306" s="1092"/>
      <c r="E306" s="1092"/>
      <c r="F306" s="1094"/>
      <c r="G306" s="103"/>
      <c r="H306" s="840"/>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839"/>
      <c r="I307" s="1091"/>
      <c r="J307" s="1083"/>
      <c r="K307" s="1083"/>
      <c r="L307" s="932"/>
    </row>
    <row r="308" spans="1:12" s="106" customFormat="1" ht="15.75" hidden="1" customHeight="1" outlineLevel="1">
      <c r="A308" s="932"/>
      <c r="B308" s="1086"/>
      <c r="C308" s="1095"/>
      <c r="D308" s="1091"/>
      <c r="E308" s="1091"/>
      <c r="F308" s="1093"/>
      <c r="G308" s="98"/>
      <c r="H308" s="839"/>
      <c r="I308" s="1091"/>
      <c r="J308" s="1084"/>
      <c r="K308" s="1084"/>
      <c r="L308" s="932"/>
    </row>
    <row r="309" spans="1:12" s="106" customFormat="1" ht="15.75" hidden="1" customHeight="1" outlineLevel="1">
      <c r="A309" s="932"/>
      <c r="B309" s="1087"/>
      <c r="C309" s="1096"/>
      <c r="D309" s="1092"/>
      <c r="E309" s="1092"/>
      <c r="F309" s="1094"/>
      <c r="G309" s="103"/>
      <c r="H309" s="840"/>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839"/>
      <c r="I310" s="1091"/>
      <c r="J310" s="1083"/>
      <c r="K310" s="1083"/>
      <c r="L310" s="932"/>
    </row>
    <row r="311" spans="1:12" s="106" customFormat="1" ht="15.75" hidden="1" customHeight="1" outlineLevel="1">
      <c r="A311" s="932"/>
      <c r="B311" s="1086"/>
      <c r="C311" s="1095"/>
      <c r="D311" s="1091"/>
      <c r="E311" s="1091"/>
      <c r="F311" s="1093"/>
      <c r="G311" s="98"/>
      <c r="H311" s="839"/>
      <c r="I311" s="1091"/>
      <c r="J311" s="1084"/>
      <c r="K311" s="1084"/>
      <c r="L311" s="932"/>
    </row>
    <row r="312" spans="1:12" s="106" customFormat="1" ht="15.75" hidden="1" customHeight="1" outlineLevel="1">
      <c r="A312" s="932"/>
      <c r="B312" s="1087"/>
      <c r="C312" s="1096"/>
      <c r="D312" s="1092"/>
      <c r="E312" s="1092"/>
      <c r="F312" s="1094"/>
      <c r="G312" s="103"/>
      <c r="H312" s="840"/>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839"/>
      <c r="I313" s="1091"/>
      <c r="J313" s="1083"/>
      <c r="K313" s="1083"/>
      <c r="L313" s="932"/>
    </row>
    <row r="314" spans="1:12" s="106" customFormat="1" ht="15.75" hidden="1" customHeight="1" outlineLevel="1">
      <c r="A314" s="932"/>
      <c r="B314" s="1086"/>
      <c r="C314" s="1095"/>
      <c r="D314" s="1091"/>
      <c r="E314" s="1091"/>
      <c r="F314" s="1093"/>
      <c r="G314" s="98"/>
      <c r="H314" s="839"/>
      <c r="I314" s="1091"/>
      <c r="J314" s="1084"/>
      <c r="K314" s="1084"/>
      <c r="L314" s="932"/>
    </row>
    <row r="315" spans="1:12" s="106" customFormat="1" ht="15.75" hidden="1" customHeight="1" outlineLevel="1">
      <c r="A315" s="932"/>
      <c r="B315" s="1087"/>
      <c r="C315" s="1096"/>
      <c r="D315" s="1092"/>
      <c r="E315" s="1092"/>
      <c r="F315" s="1094"/>
      <c r="G315" s="103"/>
      <c r="H315" s="840"/>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839"/>
      <c r="I316" s="1091"/>
      <c r="J316" s="1083"/>
      <c r="K316" s="1083"/>
      <c r="L316" s="932"/>
    </row>
    <row r="317" spans="1:12" s="106" customFormat="1" ht="15.75" hidden="1" customHeight="1" outlineLevel="1">
      <c r="A317" s="932"/>
      <c r="B317" s="1086"/>
      <c r="C317" s="1095"/>
      <c r="D317" s="1091"/>
      <c r="E317" s="1091"/>
      <c r="F317" s="1093"/>
      <c r="G317" s="98"/>
      <c r="H317" s="839"/>
      <c r="I317" s="1091"/>
      <c r="J317" s="1084"/>
      <c r="K317" s="1084"/>
      <c r="L317" s="932"/>
    </row>
    <row r="318" spans="1:12" s="106" customFormat="1" ht="15.75" hidden="1" customHeight="1" outlineLevel="1">
      <c r="A318" s="932"/>
      <c r="B318" s="1087"/>
      <c r="C318" s="1096"/>
      <c r="D318" s="1092"/>
      <c r="E318" s="1092"/>
      <c r="F318" s="1094"/>
      <c r="G318" s="103"/>
      <c r="H318" s="840"/>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839"/>
      <c r="I319" s="1091"/>
      <c r="J319" s="1083"/>
      <c r="K319" s="1083"/>
      <c r="L319" s="932"/>
    </row>
    <row r="320" spans="1:12" s="106" customFormat="1" ht="15.75" hidden="1" customHeight="1" outlineLevel="1">
      <c r="A320" s="932"/>
      <c r="B320" s="1086"/>
      <c r="C320" s="1095"/>
      <c r="D320" s="1091"/>
      <c r="E320" s="1091"/>
      <c r="F320" s="1093"/>
      <c r="G320" s="98"/>
      <c r="H320" s="839"/>
      <c r="I320" s="1091"/>
      <c r="J320" s="1084"/>
      <c r="K320" s="1084"/>
      <c r="L320" s="932"/>
    </row>
    <row r="321" spans="1:12" s="106" customFormat="1" ht="15.75" hidden="1" customHeight="1" outlineLevel="1">
      <c r="A321" s="932"/>
      <c r="B321" s="1087"/>
      <c r="C321" s="1096"/>
      <c r="D321" s="1092"/>
      <c r="E321" s="1092"/>
      <c r="F321" s="1094"/>
      <c r="G321" s="103"/>
      <c r="H321" s="840"/>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839"/>
      <c r="I322" s="1091"/>
      <c r="J322" s="1083"/>
      <c r="K322" s="1083"/>
      <c r="L322" s="932"/>
    </row>
    <row r="323" spans="1:12" s="106" customFormat="1" ht="15.75" hidden="1" customHeight="1" outlineLevel="1">
      <c r="A323" s="932"/>
      <c r="B323" s="1086"/>
      <c r="C323" s="1095"/>
      <c r="D323" s="1091"/>
      <c r="E323" s="1091"/>
      <c r="F323" s="1093"/>
      <c r="G323" s="98"/>
      <c r="H323" s="839"/>
      <c r="I323" s="1091"/>
      <c r="J323" s="1084"/>
      <c r="K323" s="1084"/>
      <c r="L323" s="932"/>
    </row>
    <row r="324" spans="1:12" s="106" customFormat="1" ht="15.75" hidden="1" customHeight="1" outlineLevel="1">
      <c r="A324" s="932"/>
      <c r="B324" s="1087"/>
      <c r="C324" s="1096"/>
      <c r="D324" s="1092"/>
      <c r="E324" s="1092"/>
      <c r="F324" s="1094"/>
      <c r="G324" s="103"/>
      <c r="H324" s="840"/>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839"/>
      <c r="I325" s="1091"/>
      <c r="J325" s="1083"/>
      <c r="K325" s="1083"/>
      <c r="L325" s="932"/>
    </row>
    <row r="326" spans="1:12" s="106" customFormat="1" ht="15.75" hidden="1" customHeight="1" outlineLevel="1">
      <c r="A326" s="932"/>
      <c r="B326" s="1086"/>
      <c r="C326" s="1095"/>
      <c r="D326" s="1091"/>
      <c r="E326" s="1091"/>
      <c r="F326" s="1093"/>
      <c r="G326" s="98"/>
      <c r="H326" s="839"/>
      <c r="I326" s="1091"/>
      <c r="J326" s="1084"/>
      <c r="K326" s="1084"/>
      <c r="L326" s="932"/>
    </row>
    <row r="327" spans="1:12" s="106" customFormat="1" ht="15.75" hidden="1" customHeight="1" outlineLevel="1">
      <c r="A327" s="932"/>
      <c r="B327" s="1087"/>
      <c r="C327" s="1096"/>
      <c r="D327" s="1092"/>
      <c r="E327" s="1092"/>
      <c r="F327" s="1094"/>
      <c r="G327" s="103"/>
      <c r="H327" s="840"/>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839"/>
      <c r="I328" s="1091"/>
      <c r="J328" s="1083"/>
      <c r="K328" s="1083"/>
      <c r="L328" s="932"/>
    </row>
    <row r="329" spans="1:12" s="106" customFormat="1" ht="15.75" hidden="1" customHeight="1" outlineLevel="1">
      <c r="A329" s="932"/>
      <c r="B329" s="1086"/>
      <c r="C329" s="1095"/>
      <c r="D329" s="1091"/>
      <c r="E329" s="1091"/>
      <c r="F329" s="1093"/>
      <c r="G329" s="98"/>
      <c r="H329" s="839"/>
      <c r="I329" s="1091"/>
      <c r="J329" s="1084"/>
      <c r="K329" s="1084"/>
      <c r="L329" s="932"/>
    </row>
    <row r="330" spans="1:12" s="106" customFormat="1" ht="15.75" hidden="1" customHeight="1" outlineLevel="1">
      <c r="A330" s="932"/>
      <c r="B330" s="1087"/>
      <c r="C330" s="1096"/>
      <c r="D330" s="1092"/>
      <c r="E330" s="1092"/>
      <c r="F330" s="1094"/>
      <c r="G330" s="103"/>
      <c r="H330" s="840"/>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839"/>
      <c r="I331" s="1091"/>
      <c r="J331" s="1083"/>
      <c r="K331" s="1083"/>
      <c r="L331" s="932"/>
    </row>
    <row r="332" spans="1:12" s="106" customFormat="1" ht="15.75" hidden="1" customHeight="1" outlineLevel="1">
      <c r="A332" s="932"/>
      <c r="B332" s="1086"/>
      <c r="C332" s="1095"/>
      <c r="D332" s="1091"/>
      <c r="E332" s="1091"/>
      <c r="F332" s="1093"/>
      <c r="G332" s="98"/>
      <c r="H332" s="839"/>
      <c r="I332" s="1091"/>
      <c r="J332" s="1084"/>
      <c r="K332" s="1084"/>
      <c r="L332" s="932"/>
    </row>
    <row r="333" spans="1:12" s="106" customFormat="1" ht="15.75" hidden="1" customHeight="1" outlineLevel="1">
      <c r="A333" s="932"/>
      <c r="B333" s="1087"/>
      <c r="C333" s="1096"/>
      <c r="D333" s="1092"/>
      <c r="E333" s="1092"/>
      <c r="F333" s="1094"/>
      <c r="G333" s="103"/>
      <c r="H333" s="840"/>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839"/>
      <c r="I334" s="1091"/>
      <c r="J334" s="1083"/>
      <c r="K334" s="1083"/>
      <c r="L334" s="932"/>
    </row>
    <row r="335" spans="1:12" s="106" customFormat="1" ht="15.75" hidden="1" customHeight="1" outlineLevel="1">
      <c r="A335" s="932"/>
      <c r="B335" s="1086"/>
      <c r="C335" s="1095"/>
      <c r="D335" s="1091"/>
      <c r="E335" s="1091"/>
      <c r="F335" s="1093"/>
      <c r="G335" s="98"/>
      <c r="H335" s="839"/>
      <c r="I335" s="1091"/>
      <c r="J335" s="1084"/>
      <c r="K335" s="1084"/>
      <c r="L335" s="932"/>
    </row>
    <row r="336" spans="1:12" s="106" customFormat="1" ht="15.75" hidden="1" customHeight="1" outlineLevel="1">
      <c r="A336" s="932"/>
      <c r="B336" s="1087"/>
      <c r="C336" s="1096"/>
      <c r="D336" s="1092"/>
      <c r="E336" s="1092"/>
      <c r="F336" s="1094"/>
      <c r="G336" s="103"/>
      <c r="H336" s="840"/>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839"/>
      <c r="I337" s="1091"/>
      <c r="J337" s="1083"/>
      <c r="K337" s="1083"/>
      <c r="L337" s="932"/>
    </row>
    <row r="338" spans="1:12" s="106" customFormat="1" ht="15.75" hidden="1" customHeight="1" outlineLevel="1">
      <c r="A338" s="932"/>
      <c r="B338" s="1086"/>
      <c r="C338" s="1095"/>
      <c r="D338" s="1091"/>
      <c r="E338" s="1091"/>
      <c r="F338" s="1093"/>
      <c r="G338" s="98"/>
      <c r="H338" s="839"/>
      <c r="I338" s="1091"/>
      <c r="J338" s="1084"/>
      <c r="K338" s="1084"/>
      <c r="L338" s="932"/>
    </row>
    <row r="339" spans="1:12" s="106" customFormat="1" ht="15.75" hidden="1" customHeight="1" outlineLevel="1">
      <c r="A339" s="932"/>
      <c r="B339" s="1087"/>
      <c r="C339" s="1096"/>
      <c r="D339" s="1092"/>
      <c r="E339" s="1092"/>
      <c r="F339" s="1094"/>
      <c r="G339" s="103"/>
      <c r="H339" s="840"/>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839"/>
      <c r="I340" s="1091"/>
      <c r="J340" s="1083"/>
      <c r="K340" s="1083"/>
      <c r="L340" s="932"/>
    </row>
    <row r="341" spans="1:12" s="106" customFormat="1" ht="15.75" hidden="1" customHeight="1" outlineLevel="1">
      <c r="A341" s="932"/>
      <c r="B341" s="1086"/>
      <c r="C341" s="1095"/>
      <c r="D341" s="1091"/>
      <c r="E341" s="1091"/>
      <c r="F341" s="1093"/>
      <c r="G341" s="98"/>
      <c r="H341" s="839"/>
      <c r="I341" s="1091"/>
      <c r="J341" s="1084"/>
      <c r="K341" s="1084"/>
      <c r="L341" s="932"/>
    </row>
    <row r="342" spans="1:12" s="106" customFormat="1" ht="15.75" hidden="1" customHeight="1" outlineLevel="1">
      <c r="A342" s="932"/>
      <c r="B342" s="1087"/>
      <c r="C342" s="1096"/>
      <c r="D342" s="1092"/>
      <c r="E342" s="1092"/>
      <c r="F342" s="1094"/>
      <c r="G342" s="103"/>
      <c r="H342" s="840"/>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839"/>
      <c r="I343" s="1091"/>
      <c r="J343" s="1083"/>
      <c r="K343" s="1083"/>
      <c r="L343" s="932"/>
    </row>
    <row r="344" spans="1:12" s="106" customFormat="1" ht="15.75" hidden="1" customHeight="1" outlineLevel="1">
      <c r="A344" s="932"/>
      <c r="B344" s="1086"/>
      <c r="C344" s="1095"/>
      <c r="D344" s="1091"/>
      <c r="E344" s="1091"/>
      <c r="F344" s="1093"/>
      <c r="G344" s="98"/>
      <c r="H344" s="839"/>
      <c r="I344" s="1091"/>
      <c r="J344" s="1084"/>
      <c r="K344" s="1084"/>
      <c r="L344" s="932"/>
    </row>
    <row r="345" spans="1:12" s="106" customFormat="1" ht="15.75" hidden="1" customHeight="1" outlineLevel="1">
      <c r="A345" s="932"/>
      <c r="B345" s="1087"/>
      <c r="C345" s="1096"/>
      <c r="D345" s="1092"/>
      <c r="E345" s="1092"/>
      <c r="F345" s="1094"/>
      <c r="G345" s="103"/>
      <c r="H345" s="840"/>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839"/>
      <c r="I346" s="1091"/>
      <c r="J346" s="1083"/>
      <c r="K346" s="1083"/>
      <c r="L346" s="932"/>
    </row>
    <row r="347" spans="1:12" s="106" customFormat="1" ht="15.75" hidden="1" customHeight="1" outlineLevel="1">
      <c r="A347" s="932"/>
      <c r="B347" s="1086"/>
      <c r="C347" s="1095"/>
      <c r="D347" s="1091"/>
      <c r="E347" s="1091"/>
      <c r="F347" s="1093"/>
      <c r="G347" s="98"/>
      <c r="H347" s="839"/>
      <c r="I347" s="1091"/>
      <c r="J347" s="1084"/>
      <c r="K347" s="1084"/>
      <c r="L347" s="932"/>
    </row>
    <row r="348" spans="1:12" s="106" customFormat="1" ht="15.75" hidden="1" customHeight="1" outlineLevel="1">
      <c r="A348" s="932"/>
      <c r="B348" s="1087"/>
      <c r="C348" s="1096"/>
      <c r="D348" s="1092"/>
      <c r="E348" s="1092"/>
      <c r="F348" s="1094"/>
      <c r="G348" s="103"/>
      <c r="H348" s="840"/>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839"/>
      <c r="I349" s="1091"/>
      <c r="J349" s="1083"/>
      <c r="K349" s="1083"/>
      <c r="L349" s="932"/>
    </row>
    <row r="350" spans="1:12" s="106" customFormat="1" ht="15.75" hidden="1" customHeight="1" outlineLevel="1">
      <c r="A350" s="932"/>
      <c r="B350" s="1086"/>
      <c r="C350" s="1095"/>
      <c r="D350" s="1091"/>
      <c r="E350" s="1091"/>
      <c r="F350" s="1093"/>
      <c r="G350" s="98"/>
      <c r="H350" s="839"/>
      <c r="I350" s="1091"/>
      <c r="J350" s="1084"/>
      <c r="K350" s="1084"/>
      <c r="L350" s="932"/>
    </row>
    <row r="351" spans="1:12" s="106" customFormat="1" ht="15.75" hidden="1" customHeight="1" outlineLevel="1">
      <c r="A351" s="932"/>
      <c r="B351" s="1087"/>
      <c r="C351" s="1096"/>
      <c r="D351" s="1092"/>
      <c r="E351" s="1092"/>
      <c r="F351" s="1094"/>
      <c r="G351" s="103"/>
      <c r="H351" s="840"/>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839"/>
      <c r="I352" s="1091"/>
      <c r="J352" s="1083"/>
      <c r="K352" s="1083"/>
      <c r="L352" s="932"/>
    </row>
    <row r="353" spans="1:12" s="106" customFormat="1" ht="15.75" hidden="1" customHeight="1" outlineLevel="1">
      <c r="A353" s="932"/>
      <c r="B353" s="1086"/>
      <c r="C353" s="1095"/>
      <c r="D353" s="1091"/>
      <c r="E353" s="1091"/>
      <c r="F353" s="1093"/>
      <c r="G353" s="98"/>
      <c r="H353" s="839"/>
      <c r="I353" s="1091"/>
      <c r="J353" s="1084"/>
      <c r="K353" s="1084"/>
      <c r="L353" s="932"/>
    </row>
    <row r="354" spans="1:12" s="106" customFormat="1" ht="15.75" hidden="1" customHeight="1" outlineLevel="1">
      <c r="A354" s="932"/>
      <c r="B354" s="1087"/>
      <c r="C354" s="1096"/>
      <c r="D354" s="1092"/>
      <c r="E354" s="1092"/>
      <c r="F354" s="1094"/>
      <c r="G354" s="103"/>
      <c r="H354" s="840"/>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839"/>
      <c r="I355" s="1091"/>
      <c r="J355" s="1083"/>
      <c r="K355" s="1083"/>
      <c r="L355" s="932"/>
    </row>
    <row r="356" spans="1:12" s="106" customFormat="1" ht="15.75" hidden="1" customHeight="1" outlineLevel="1">
      <c r="A356" s="932"/>
      <c r="B356" s="1086"/>
      <c r="C356" s="1095"/>
      <c r="D356" s="1091"/>
      <c r="E356" s="1091"/>
      <c r="F356" s="1093"/>
      <c r="G356" s="98"/>
      <c r="H356" s="839"/>
      <c r="I356" s="1091"/>
      <c r="J356" s="1084"/>
      <c r="K356" s="1084"/>
      <c r="L356" s="932"/>
    </row>
    <row r="357" spans="1:12" s="106" customFormat="1" ht="15.75" hidden="1" customHeight="1" outlineLevel="1">
      <c r="A357" s="932"/>
      <c r="B357" s="1087"/>
      <c r="C357" s="1096"/>
      <c r="D357" s="1092"/>
      <c r="E357" s="1092"/>
      <c r="F357" s="1094"/>
      <c r="G357" s="103"/>
      <c r="H357" s="840"/>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839"/>
      <c r="I358" s="1091"/>
      <c r="J358" s="1083"/>
      <c r="K358" s="1083"/>
      <c r="L358" s="932"/>
    </row>
    <row r="359" spans="1:12" s="106" customFormat="1" ht="15.75" hidden="1" customHeight="1" outlineLevel="1">
      <c r="A359" s="932"/>
      <c r="B359" s="1086"/>
      <c r="C359" s="1095"/>
      <c r="D359" s="1091"/>
      <c r="E359" s="1091"/>
      <c r="F359" s="1093"/>
      <c r="G359" s="98"/>
      <c r="H359" s="839"/>
      <c r="I359" s="1091"/>
      <c r="J359" s="1084"/>
      <c r="K359" s="1084"/>
      <c r="L359" s="932"/>
    </row>
    <row r="360" spans="1:12" s="106" customFormat="1" ht="15.75" hidden="1" customHeight="1" outlineLevel="1">
      <c r="A360" s="932"/>
      <c r="B360" s="1087"/>
      <c r="C360" s="1096"/>
      <c r="D360" s="1092"/>
      <c r="E360" s="1092"/>
      <c r="F360" s="1094"/>
      <c r="G360" s="103"/>
      <c r="H360" s="840"/>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839"/>
      <c r="I361" s="1091"/>
      <c r="J361" s="1083"/>
      <c r="K361" s="1083"/>
      <c r="L361" s="932"/>
    </row>
    <row r="362" spans="1:12" s="106" customFormat="1" ht="15.75" hidden="1" customHeight="1" outlineLevel="1">
      <c r="A362" s="932"/>
      <c r="B362" s="1086"/>
      <c r="C362" s="1095"/>
      <c r="D362" s="1091"/>
      <c r="E362" s="1091"/>
      <c r="F362" s="1093"/>
      <c r="G362" s="98"/>
      <c r="H362" s="839"/>
      <c r="I362" s="1091"/>
      <c r="J362" s="1084"/>
      <c r="K362" s="1084"/>
      <c r="L362" s="932"/>
    </row>
    <row r="363" spans="1:12" s="106" customFormat="1" ht="15.75" hidden="1" customHeight="1" outlineLevel="1">
      <c r="A363" s="932"/>
      <c r="B363" s="1087"/>
      <c r="C363" s="1096"/>
      <c r="D363" s="1092"/>
      <c r="E363" s="1092"/>
      <c r="F363" s="1094"/>
      <c r="G363" s="103"/>
      <c r="H363" s="840"/>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839"/>
      <c r="I364" s="1091"/>
      <c r="J364" s="1083"/>
      <c r="K364" s="1083"/>
      <c r="L364" s="932"/>
    </row>
    <row r="365" spans="1:12" s="106" customFormat="1" ht="15.75" hidden="1" customHeight="1" outlineLevel="1">
      <c r="A365" s="932"/>
      <c r="B365" s="1086"/>
      <c r="C365" s="1095"/>
      <c r="D365" s="1091"/>
      <c r="E365" s="1091"/>
      <c r="F365" s="1093"/>
      <c r="G365" s="98"/>
      <c r="H365" s="839"/>
      <c r="I365" s="1091"/>
      <c r="J365" s="1084"/>
      <c r="K365" s="1084"/>
      <c r="L365" s="932"/>
    </row>
    <row r="366" spans="1:12" s="106" customFormat="1" ht="15.75" hidden="1" customHeight="1" outlineLevel="1">
      <c r="A366" s="932"/>
      <c r="B366" s="1087"/>
      <c r="C366" s="1096"/>
      <c r="D366" s="1092"/>
      <c r="E366" s="1092"/>
      <c r="F366" s="1094"/>
      <c r="G366" s="103"/>
      <c r="H366" s="840"/>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839"/>
      <c r="I367" s="1091"/>
      <c r="J367" s="1083"/>
      <c r="K367" s="1083"/>
      <c r="L367" s="932"/>
    </row>
    <row r="368" spans="1:12" s="106" customFormat="1" ht="15.75" hidden="1" customHeight="1" outlineLevel="1">
      <c r="A368" s="932"/>
      <c r="B368" s="1086"/>
      <c r="C368" s="1095"/>
      <c r="D368" s="1091"/>
      <c r="E368" s="1091"/>
      <c r="F368" s="1093"/>
      <c r="G368" s="98"/>
      <c r="H368" s="839"/>
      <c r="I368" s="1091"/>
      <c r="J368" s="1084"/>
      <c r="K368" s="1084"/>
      <c r="L368" s="932"/>
    </row>
    <row r="369" spans="1:12" s="106" customFormat="1" ht="15.75" hidden="1" customHeight="1" outlineLevel="1">
      <c r="A369" s="932"/>
      <c r="B369" s="1087"/>
      <c r="C369" s="1096"/>
      <c r="D369" s="1092"/>
      <c r="E369" s="1092"/>
      <c r="F369" s="1094"/>
      <c r="G369" s="103"/>
      <c r="H369" s="840"/>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839"/>
      <c r="I370" s="1091"/>
      <c r="J370" s="1083"/>
      <c r="K370" s="1083"/>
      <c r="L370" s="932"/>
    </row>
    <row r="371" spans="1:12" s="106" customFormat="1" ht="15.75" hidden="1" customHeight="1" outlineLevel="1">
      <c r="A371" s="932"/>
      <c r="B371" s="1086"/>
      <c r="C371" s="1095"/>
      <c r="D371" s="1091"/>
      <c r="E371" s="1091"/>
      <c r="F371" s="1093"/>
      <c r="G371" s="98"/>
      <c r="H371" s="839"/>
      <c r="I371" s="1091"/>
      <c r="J371" s="1084"/>
      <c r="K371" s="1084"/>
      <c r="L371" s="932"/>
    </row>
    <row r="372" spans="1:12" s="106" customFormat="1" ht="15.75" hidden="1" customHeight="1" outlineLevel="1">
      <c r="A372" s="932"/>
      <c r="B372" s="1087"/>
      <c r="C372" s="1096"/>
      <c r="D372" s="1092"/>
      <c r="E372" s="1092"/>
      <c r="F372" s="1094"/>
      <c r="G372" s="103"/>
      <c r="H372" s="840"/>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839"/>
      <c r="I373" s="1091"/>
      <c r="J373" s="1083"/>
      <c r="K373" s="1083"/>
      <c r="L373" s="932"/>
    </row>
    <row r="374" spans="1:12" s="106" customFormat="1" ht="15.75" hidden="1" customHeight="1" outlineLevel="1">
      <c r="A374" s="932"/>
      <c r="B374" s="1086"/>
      <c r="C374" s="1095"/>
      <c r="D374" s="1091"/>
      <c r="E374" s="1091"/>
      <c r="F374" s="1093"/>
      <c r="G374" s="98"/>
      <c r="H374" s="839"/>
      <c r="I374" s="1091"/>
      <c r="J374" s="1084"/>
      <c r="K374" s="1084"/>
      <c r="L374" s="932"/>
    </row>
    <row r="375" spans="1:12" s="106" customFormat="1" ht="15.75" hidden="1" customHeight="1" outlineLevel="1">
      <c r="A375" s="932"/>
      <c r="B375" s="1087"/>
      <c r="C375" s="1096"/>
      <c r="D375" s="1092"/>
      <c r="E375" s="1092"/>
      <c r="F375" s="1094"/>
      <c r="G375" s="103"/>
      <c r="H375" s="840"/>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839"/>
      <c r="I376" s="1091"/>
      <c r="J376" s="1083"/>
      <c r="K376" s="1083"/>
      <c r="L376" s="932"/>
    </row>
    <row r="377" spans="1:12" s="106" customFormat="1" ht="15.75" hidden="1" customHeight="1" outlineLevel="1">
      <c r="A377" s="932"/>
      <c r="B377" s="1086"/>
      <c r="C377" s="1095"/>
      <c r="D377" s="1091"/>
      <c r="E377" s="1091"/>
      <c r="F377" s="1093"/>
      <c r="G377" s="98"/>
      <c r="H377" s="839"/>
      <c r="I377" s="1091"/>
      <c r="J377" s="1084"/>
      <c r="K377" s="1084"/>
      <c r="L377" s="932"/>
    </row>
    <row r="378" spans="1:12" s="106" customFormat="1" ht="15.75" hidden="1" customHeight="1" outlineLevel="1">
      <c r="A378" s="932"/>
      <c r="B378" s="1087"/>
      <c r="C378" s="1096"/>
      <c r="D378" s="1092"/>
      <c r="E378" s="1092"/>
      <c r="F378" s="1094"/>
      <c r="G378" s="103"/>
      <c r="H378" s="840"/>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839"/>
      <c r="I379" s="1091"/>
      <c r="J379" s="1083"/>
      <c r="K379" s="1083"/>
      <c r="L379" s="932"/>
    </row>
    <row r="380" spans="1:12" s="106" customFormat="1" ht="15.75" hidden="1" customHeight="1" outlineLevel="1">
      <c r="A380" s="932"/>
      <c r="B380" s="1086"/>
      <c r="C380" s="1095"/>
      <c r="D380" s="1091"/>
      <c r="E380" s="1091"/>
      <c r="F380" s="1093"/>
      <c r="G380" s="98"/>
      <c r="H380" s="839"/>
      <c r="I380" s="1091"/>
      <c r="J380" s="1084"/>
      <c r="K380" s="1084"/>
      <c r="L380" s="932"/>
    </row>
    <row r="381" spans="1:12" s="106" customFormat="1" ht="15.75" hidden="1" customHeight="1" outlineLevel="1">
      <c r="A381" s="932"/>
      <c r="B381" s="1087"/>
      <c r="C381" s="1096"/>
      <c r="D381" s="1092"/>
      <c r="E381" s="1092"/>
      <c r="F381" s="1094"/>
      <c r="G381" s="103"/>
      <c r="H381" s="840"/>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839"/>
      <c r="I382" s="1091"/>
      <c r="J382" s="1083"/>
      <c r="K382" s="1083"/>
      <c r="L382" s="932"/>
    </row>
    <row r="383" spans="1:12" s="106" customFormat="1" ht="15.75" hidden="1" customHeight="1" outlineLevel="1">
      <c r="A383" s="932"/>
      <c r="B383" s="1086"/>
      <c r="C383" s="1095"/>
      <c r="D383" s="1091"/>
      <c r="E383" s="1091"/>
      <c r="F383" s="1093"/>
      <c r="G383" s="98"/>
      <c r="H383" s="839"/>
      <c r="I383" s="1091"/>
      <c r="J383" s="1084"/>
      <c r="K383" s="1084"/>
      <c r="L383" s="932"/>
    </row>
    <row r="384" spans="1:12" s="106" customFormat="1" ht="15.75" hidden="1" customHeight="1" outlineLevel="1">
      <c r="A384" s="932"/>
      <c r="B384" s="1087"/>
      <c r="C384" s="1096"/>
      <c r="D384" s="1092"/>
      <c r="E384" s="1092"/>
      <c r="F384" s="1094"/>
      <c r="G384" s="103"/>
      <c r="H384" s="840"/>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839"/>
      <c r="I385" s="1091"/>
      <c r="J385" s="1083"/>
      <c r="K385" s="1083"/>
      <c r="L385" s="932"/>
    </row>
    <row r="386" spans="1:12" s="106" customFormat="1" ht="15.75" hidden="1" customHeight="1" outlineLevel="1">
      <c r="A386" s="932"/>
      <c r="B386" s="1086"/>
      <c r="C386" s="1095"/>
      <c r="D386" s="1091"/>
      <c r="E386" s="1091"/>
      <c r="F386" s="1093"/>
      <c r="G386" s="98"/>
      <c r="H386" s="839"/>
      <c r="I386" s="1091"/>
      <c r="J386" s="1084"/>
      <c r="K386" s="1084"/>
      <c r="L386" s="932"/>
    </row>
    <row r="387" spans="1:12" s="106" customFormat="1" ht="15.75" hidden="1" customHeight="1" outlineLevel="1">
      <c r="A387" s="932"/>
      <c r="B387" s="1087"/>
      <c r="C387" s="1096"/>
      <c r="D387" s="1092"/>
      <c r="E387" s="1092"/>
      <c r="F387" s="1094"/>
      <c r="G387" s="103"/>
      <c r="H387" s="840"/>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839"/>
      <c r="I388" s="1091"/>
      <c r="J388" s="1083"/>
      <c r="K388" s="1083"/>
      <c r="L388" s="932"/>
    </row>
    <row r="389" spans="1:12" s="106" customFormat="1" ht="15.75" hidden="1" customHeight="1" outlineLevel="1">
      <c r="A389" s="932"/>
      <c r="B389" s="1086"/>
      <c r="C389" s="1095"/>
      <c r="D389" s="1091"/>
      <c r="E389" s="1091"/>
      <c r="F389" s="1093"/>
      <c r="G389" s="98"/>
      <c r="H389" s="839"/>
      <c r="I389" s="1091"/>
      <c r="J389" s="1084"/>
      <c r="K389" s="1084"/>
      <c r="L389" s="932"/>
    </row>
    <row r="390" spans="1:12" s="106" customFormat="1" ht="15.75" hidden="1" customHeight="1" outlineLevel="1">
      <c r="A390" s="932"/>
      <c r="B390" s="1087"/>
      <c r="C390" s="1096"/>
      <c r="D390" s="1092"/>
      <c r="E390" s="1092"/>
      <c r="F390" s="1094"/>
      <c r="G390" s="103"/>
      <c r="H390" s="840"/>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839"/>
      <c r="I391" s="1091"/>
      <c r="J391" s="1083"/>
      <c r="K391" s="1083"/>
      <c r="L391" s="932"/>
    </row>
    <row r="392" spans="1:12" s="106" customFormat="1" ht="15.75" hidden="1" customHeight="1" outlineLevel="1">
      <c r="A392" s="932"/>
      <c r="B392" s="1086"/>
      <c r="C392" s="1095"/>
      <c r="D392" s="1091"/>
      <c r="E392" s="1091"/>
      <c r="F392" s="1093"/>
      <c r="G392" s="98"/>
      <c r="H392" s="839"/>
      <c r="I392" s="1091"/>
      <c r="J392" s="1084"/>
      <c r="K392" s="1084"/>
      <c r="L392" s="932"/>
    </row>
    <row r="393" spans="1:12" s="106" customFormat="1" ht="15.75" hidden="1" customHeight="1" outlineLevel="1">
      <c r="A393" s="932"/>
      <c r="B393" s="1087"/>
      <c r="C393" s="1096"/>
      <c r="D393" s="1092"/>
      <c r="E393" s="1092"/>
      <c r="F393" s="1094"/>
      <c r="G393" s="103"/>
      <c r="H393" s="840"/>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839"/>
      <c r="I394" s="1091"/>
      <c r="J394" s="1083"/>
      <c r="K394" s="1083"/>
      <c r="L394" s="932"/>
    </row>
    <row r="395" spans="1:12" s="106" customFormat="1" ht="15.75" hidden="1" customHeight="1" outlineLevel="1">
      <c r="A395" s="932"/>
      <c r="B395" s="1086"/>
      <c r="C395" s="1095"/>
      <c r="D395" s="1091"/>
      <c r="E395" s="1091"/>
      <c r="F395" s="1093"/>
      <c r="G395" s="98"/>
      <c r="H395" s="839"/>
      <c r="I395" s="1091"/>
      <c r="J395" s="1084"/>
      <c r="K395" s="1084"/>
      <c r="L395" s="932"/>
    </row>
    <row r="396" spans="1:12" s="106" customFormat="1" ht="15.75" hidden="1" customHeight="1" outlineLevel="1">
      <c r="A396" s="932"/>
      <c r="B396" s="1087"/>
      <c r="C396" s="1096"/>
      <c r="D396" s="1092"/>
      <c r="E396" s="1092"/>
      <c r="F396" s="1094"/>
      <c r="G396" s="103"/>
      <c r="H396" s="840"/>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839"/>
      <c r="I397" s="1091"/>
      <c r="J397" s="1083"/>
      <c r="K397" s="1083"/>
      <c r="L397" s="932"/>
    </row>
    <row r="398" spans="1:12" s="106" customFormat="1" ht="15.75" hidden="1" customHeight="1" outlineLevel="1">
      <c r="A398" s="932"/>
      <c r="B398" s="1086"/>
      <c r="C398" s="1095"/>
      <c r="D398" s="1091"/>
      <c r="E398" s="1091"/>
      <c r="F398" s="1093"/>
      <c r="G398" s="98"/>
      <c r="H398" s="839"/>
      <c r="I398" s="1091"/>
      <c r="J398" s="1084"/>
      <c r="K398" s="1084"/>
      <c r="L398" s="932"/>
    </row>
    <row r="399" spans="1:12" s="106" customFormat="1" ht="15.75" hidden="1" customHeight="1" outlineLevel="1">
      <c r="A399" s="932"/>
      <c r="B399" s="1087"/>
      <c r="C399" s="1096"/>
      <c r="D399" s="1092"/>
      <c r="E399" s="1092"/>
      <c r="F399" s="1094"/>
      <c r="G399" s="103"/>
      <c r="H399" s="840"/>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839"/>
      <c r="I400" s="1091"/>
      <c r="J400" s="1083"/>
      <c r="K400" s="1083"/>
      <c r="L400" s="932"/>
    </row>
    <row r="401" spans="1:12" s="106" customFormat="1" ht="15.75" hidden="1" customHeight="1" outlineLevel="1">
      <c r="A401" s="932"/>
      <c r="B401" s="1086"/>
      <c r="C401" s="1095"/>
      <c r="D401" s="1091"/>
      <c r="E401" s="1091"/>
      <c r="F401" s="1093"/>
      <c r="G401" s="98"/>
      <c r="H401" s="839"/>
      <c r="I401" s="1091"/>
      <c r="J401" s="1084"/>
      <c r="K401" s="1084"/>
      <c r="L401" s="932"/>
    </row>
    <row r="402" spans="1:12" s="106" customFormat="1" ht="15.75" hidden="1" customHeight="1" outlineLevel="1">
      <c r="A402" s="932"/>
      <c r="B402" s="1087"/>
      <c r="C402" s="1096"/>
      <c r="D402" s="1092"/>
      <c r="E402" s="1092"/>
      <c r="F402" s="1094"/>
      <c r="G402" s="103"/>
      <c r="H402" s="840"/>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839"/>
      <c r="I403" s="1091"/>
      <c r="J403" s="1083"/>
      <c r="K403" s="1083"/>
      <c r="L403" s="932"/>
    </row>
    <row r="404" spans="1:12" s="106" customFormat="1" ht="15.75" hidden="1" customHeight="1" outlineLevel="1">
      <c r="A404" s="932"/>
      <c r="B404" s="1086"/>
      <c r="C404" s="1095"/>
      <c r="D404" s="1091"/>
      <c r="E404" s="1091"/>
      <c r="F404" s="1093"/>
      <c r="G404" s="98"/>
      <c r="H404" s="839"/>
      <c r="I404" s="1091"/>
      <c r="J404" s="1084"/>
      <c r="K404" s="1084"/>
      <c r="L404" s="932"/>
    </row>
    <row r="405" spans="1:12" s="106" customFormat="1" ht="15.75" hidden="1" customHeight="1" outlineLevel="1">
      <c r="A405" s="932"/>
      <c r="B405" s="1087"/>
      <c r="C405" s="1096"/>
      <c r="D405" s="1092"/>
      <c r="E405" s="1092"/>
      <c r="F405" s="1094"/>
      <c r="G405" s="103"/>
      <c r="H405" s="840"/>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839"/>
      <c r="I406" s="1091"/>
      <c r="J406" s="1083"/>
      <c r="K406" s="1083"/>
      <c r="L406" s="932"/>
    </row>
    <row r="407" spans="1:12" s="106" customFormat="1" ht="15.75" hidden="1" customHeight="1" outlineLevel="1">
      <c r="A407" s="932"/>
      <c r="B407" s="1086"/>
      <c r="C407" s="1095"/>
      <c r="D407" s="1091"/>
      <c r="E407" s="1091"/>
      <c r="F407" s="1093"/>
      <c r="G407" s="98"/>
      <c r="H407" s="839"/>
      <c r="I407" s="1091"/>
      <c r="J407" s="1084"/>
      <c r="K407" s="1084"/>
      <c r="L407" s="932"/>
    </row>
    <row r="408" spans="1:12" s="106" customFormat="1" ht="15.75" hidden="1" customHeight="1" outlineLevel="1">
      <c r="A408" s="932"/>
      <c r="B408" s="1087"/>
      <c r="C408" s="1096"/>
      <c r="D408" s="1092"/>
      <c r="E408" s="1092"/>
      <c r="F408" s="1094"/>
      <c r="G408" s="103"/>
      <c r="H408" s="840"/>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839"/>
      <c r="I409" s="1091"/>
      <c r="J409" s="1083"/>
      <c r="K409" s="1083"/>
      <c r="L409" s="932"/>
    </row>
    <row r="410" spans="1:12" s="106" customFormat="1" ht="15.75" hidden="1" customHeight="1" outlineLevel="1">
      <c r="A410" s="932"/>
      <c r="B410" s="1086"/>
      <c r="C410" s="1095"/>
      <c r="D410" s="1091"/>
      <c r="E410" s="1091"/>
      <c r="F410" s="1093"/>
      <c r="G410" s="98"/>
      <c r="H410" s="839"/>
      <c r="I410" s="1091"/>
      <c r="J410" s="1084"/>
      <c r="K410" s="1084"/>
      <c r="L410" s="932"/>
    </row>
    <row r="411" spans="1:12" s="106" customFormat="1" ht="15.75" hidden="1" customHeight="1" outlineLevel="1">
      <c r="A411" s="932"/>
      <c r="B411" s="1087"/>
      <c r="C411" s="1096"/>
      <c r="D411" s="1092"/>
      <c r="E411" s="1092"/>
      <c r="F411" s="1094"/>
      <c r="G411" s="103"/>
      <c r="H411" s="840"/>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839"/>
      <c r="I412" s="1091"/>
      <c r="J412" s="1083"/>
      <c r="K412" s="1083"/>
      <c r="L412" s="932"/>
    </row>
    <row r="413" spans="1:12" s="106" customFormat="1" ht="15.75" hidden="1" customHeight="1" outlineLevel="1">
      <c r="A413" s="932"/>
      <c r="B413" s="1086"/>
      <c r="C413" s="1095"/>
      <c r="D413" s="1091"/>
      <c r="E413" s="1091"/>
      <c r="F413" s="1093"/>
      <c r="G413" s="98"/>
      <c r="H413" s="839"/>
      <c r="I413" s="1091"/>
      <c r="J413" s="1084"/>
      <c r="K413" s="1084"/>
      <c r="L413" s="932"/>
    </row>
    <row r="414" spans="1:12" s="106" customFormat="1" ht="15.75" hidden="1" customHeight="1" outlineLevel="1">
      <c r="A414" s="932"/>
      <c r="B414" s="1087"/>
      <c r="C414" s="1096"/>
      <c r="D414" s="1092"/>
      <c r="E414" s="1092"/>
      <c r="F414" s="1094"/>
      <c r="G414" s="103"/>
      <c r="H414" s="840"/>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839"/>
      <c r="I415" s="1091"/>
      <c r="J415" s="1083"/>
      <c r="K415" s="1083"/>
      <c r="L415" s="932"/>
    </row>
    <row r="416" spans="1:12" s="106" customFormat="1" ht="15.75" hidden="1" customHeight="1" outlineLevel="1">
      <c r="A416" s="932"/>
      <c r="B416" s="1086"/>
      <c r="C416" s="1095"/>
      <c r="D416" s="1091"/>
      <c r="E416" s="1091"/>
      <c r="F416" s="1093"/>
      <c r="G416" s="98"/>
      <c r="H416" s="839"/>
      <c r="I416" s="1091"/>
      <c r="J416" s="1084"/>
      <c r="K416" s="1084"/>
      <c r="L416" s="932"/>
    </row>
    <row r="417" spans="1:12" s="106" customFormat="1" ht="15.75" hidden="1" customHeight="1" outlineLevel="1">
      <c r="A417" s="932"/>
      <c r="B417" s="1087"/>
      <c r="C417" s="1096"/>
      <c r="D417" s="1092"/>
      <c r="E417" s="1092"/>
      <c r="F417" s="1094"/>
      <c r="G417" s="103"/>
      <c r="H417" s="840"/>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839"/>
      <c r="I418" s="1091"/>
      <c r="J418" s="1083"/>
      <c r="K418" s="1083"/>
      <c r="L418" s="932"/>
    </row>
    <row r="419" spans="1:12" s="106" customFormat="1" ht="15.75" hidden="1" customHeight="1" outlineLevel="1">
      <c r="A419" s="932"/>
      <c r="B419" s="1086"/>
      <c r="C419" s="1095"/>
      <c r="D419" s="1091"/>
      <c r="E419" s="1091"/>
      <c r="F419" s="1093"/>
      <c r="G419" s="98"/>
      <c r="H419" s="839"/>
      <c r="I419" s="1091"/>
      <c r="J419" s="1084"/>
      <c r="K419" s="1084"/>
      <c r="L419" s="932"/>
    </row>
    <row r="420" spans="1:12" s="106" customFormat="1" ht="15.75" hidden="1" customHeight="1" outlineLevel="1">
      <c r="A420" s="932"/>
      <c r="B420" s="1087"/>
      <c r="C420" s="1096"/>
      <c r="D420" s="1092"/>
      <c r="E420" s="1092"/>
      <c r="F420" s="1094"/>
      <c r="G420" s="103"/>
      <c r="H420" s="840"/>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839"/>
      <c r="I421" s="1091"/>
      <c r="J421" s="1083"/>
      <c r="K421" s="1083"/>
      <c r="L421" s="932"/>
    </row>
    <row r="422" spans="1:12" s="106" customFormat="1" ht="15.75" hidden="1" customHeight="1" outlineLevel="1">
      <c r="A422" s="932"/>
      <c r="B422" s="1086"/>
      <c r="C422" s="1095"/>
      <c r="D422" s="1091"/>
      <c r="E422" s="1091"/>
      <c r="F422" s="1093"/>
      <c r="G422" s="98"/>
      <c r="H422" s="839"/>
      <c r="I422" s="1091"/>
      <c r="J422" s="1084"/>
      <c r="K422" s="1084"/>
      <c r="L422" s="932"/>
    </row>
    <row r="423" spans="1:12" s="106" customFormat="1" ht="15.75" hidden="1" customHeight="1" outlineLevel="1">
      <c r="A423" s="932"/>
      <c r="B423" s="1087"/>
      <c r="C423" s="1096"/>
      <c r="D423" s="1092"/>
      <c r="E423" s="1092"/>
      <c r="F423" s="1094"/>
      <c r="G423" s="103"/>
      <c r="H423" s="840"/>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839"/>
      <c r="I424" s="1091"/>
      <c r="J424" s="1083"/>
      <c r="K424" s="1083"/>
      <c r="L424" s="932"/>
    </row>
    <row r="425" spans="1:12" s="106" customFormat="1" ht="15.75" hidden="1" customHeight="1" outlineLevel="1">
      <c r="A425" s="932"/>
      <c r="B425" s="1086"/>
      <c r="C425" s="1095"/>
      <c r="D425" s="1091"/>
      <c r="E425" s="1091"/>
      <c r="F425" s="1093"/>
      <c r="G425" s="98"/>
      <c r="H425" s="839"/>
      <c r="I425" s="1091"/>
      <c r="J425" s="1084"/>
      <c r="K425" s="1084"/>
      <c r="L425" s="932"/>
    </row>
    <row r="426" spans="1:12" s="106" customFormat="1" ht="15.75" hidden="1" customHeight="1" outlineLevel="1">
      <c r="A426" s="932"/>
      <c r="B426" s="1087"/>
      <c r="C426" s="1096"/>
      <c r="D426" s="1092"/>
      <c r="E426" s="1092"/>
      <c r="F426" s="1094"/>
      <c r="G426" s="103"/>
      <c r="H426" s="840"/>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839"/>
      <c r="I427" s="1091"/>
      <c r="J427" s="1083"/>
      <c r="K427" s="1083"/>
      <c r="L427" s="932"/>
    </row>
    <row r="428" spans="1:12" s="106" customFormat="1" ht="15.75" hidden="1" customHeight="1" outlineLevel="1">
      <c r="A428" s="932"/>
      <c r="B428" s="1086"/>
      <c r="C428" s="1095"/>
      <c r="D428" s="1091"/>
      <c r="E428" s="1091"/>
      <c r="F428" s="1093"/>
      <c r="G428" s="98"/>
      <c r="H428" s="839"/>
      <c r="I428" s="1091"/>
      <c r="J428" s="1084"/>
      <c r="K428" s="1084"/>
      <c r="L428" s="932"/>
    </row>
    <row r="429" spans="1:12" s="106" customFormat="1" ht="15.75" hidden="1" customHeight="1" outlineLevel="1">
      <c r="A429" s="932"/>
      <c r="B429" s="1087"/>
      <c r="C429" s="1096"/>
      <c r="D429" s="1092"/>
      <c r="E429" s="1092"/>
      <c r="F429" s="1094"/>
      <c r="G429" s="103"/>
      <c r="H429" s="840"/>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839"/>
      <c r="I430" s="1091"/>
      <c r="J430" s="1083"/>
      <c r="K430" s="1083"/>
      <c r="L430" s="932"/>
    </row>
    <row r="431" spans="1:12" s="106" customFormat="1" ht="15.75" hidden="1" customHeight="1" outlineLevel="1">
      <c r="A431" s="932"/>
      <c r="B431" s="1086"/>
      <c r="C431" s="1095"/>
      <c r="D431" s="1091"/>
      <c r="E431" s="1091"/>
      <c r="F431" s="1093"/>
      <c r="G431" s="98"/>
      <c r="H431" s="839"/>
      <c r="I431" s="1091"/>
      <c r="J431" s="1084"/>
      <c r="K431" s="1084"/>
      <c r="L431" s="932"/>
    </row>
    <row r="432" spans="1:12" s="106" customFormat="1" ht="15.75" hidden="1" customHeight="1" outlineLevel="1">
      <c r="A432" s="932"/>
      <c r="B432" s="1087"/>
      <c r="C432" s="1096"/>
      <c r="D432" s="1092"/>
      <c r="E432" s="1092"/>
      <c r="F432" s="1094"/>
      <c r="G432" s="103"/>
      <c r="H432" s="840"/>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839"/>
      <c r="I433" s="1091"/>
      <c r="J433" s="1083"/>
      <c r="K433" s="1083"/>
      <c r="L433" s="932"/>
    </row>
    <row r="434" spans="1:12" s="106" customFormat="1" ht="15.75" hidden="1" customHeight="1" outlineLevel="1">
      <c r="A434" s="932"/>
      <c r="B434" s="1086"/>
      <c r="C434" s="1095"/>
      <c r="D434" s="1091"/>
      <c r="E434" s="1091"/>
      <c r="F434" s="1093"/>
      <c r="G434" s="98"/>
      <c r="H434" s="839"/>
      <c r="I434" s="1091"/>
      <c r="J434" s="1084"/>
      <c r="K434" s="1084"/>
      <c r="L434" s="932"/>
    </row>
    <row r="435" spans="1:12" s="106" customFormat="1" ht="15.75" hidden="1" customHeight="1" outlineLevel="1">
      <c r="A435" s="932"/>
      <c r="B435" s="1087"/>
      <c r="C435" s="1096"/>
      <c r="D435" s="1092"/>
      <c r="E435" s="1092"/>
      <c r="F435" s="1094"/>
      <c r="G435" s="103"/>
      <c r="H435" s="840"/>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839"/>
      <c r="I436" s="1091"/>
      <c r="J436" s="1083"/>
      <c r="K436" s="1083"/>
      <c r="L436" s="932"/>
    </row>
    <row r="437" spans="1:12" s="106" customFormat="1" ht="15.75" hidden="1" customHeight="1" outlineLevel="1">
      <c r="A437" s="932"/>
      <c r="B437" s="1086"/>
      <c r="C437" s="1095"/>
      <c r="D437" s="1091"/>
      <c r="E437" s="1091"/>
      <c r="F437" s="1093"/>
      <c r="G437" s="98"/>
      <c r="H437" s="839"/>
      <c r="I437" s="1091"/>
      <c r="J437" s="1084"/>
      <c r="K437" s="1084"/>
      <c r="L437" s="932"/>
    </row>
    <row r="438" spans="1:12" s="106" customFormat="1" ht="15.75" hidden="1" customHeight="1" outlineLevel="1">
      <c r="A438" s="932"/>
      <c r="B438" s="1087"/>
      <c r="C438" s="1096"/>
      <c r="D438" s="1092"/>
      <c r="E438" s="1092"/>
      <c r="F438" s="1094"/>
      <c r="G438" s="103"/>
      <c r="H438" s="840"/>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839"/>
      <c r="I439" s="1091"/>
      <c r="J439" s="1083"/>
      <c r="K439" s="1083"/>
      <c r="L439" s="932"/>
    </row>
    <row r="440" spans="1:12" s="106" customFormat="1" ht="15.75" hidden="1" customHeight="1" outlineLevel="1">
      <c r="A440" s="932"/>
      <c r="B440" s="1086"/>
      <c r="C440" s="1095"/>
      <c r="D440" s="1091"/>
      <c r="E440" s="1091"/>
      <c r="F440" s="1093"/>
      <c r="G440" s="98"/>
      <c r="H440" s="839"/>
      <c r="I440" s="1091"/>
      <c r="J440" s="1084"/>
      <c r="K440" s="1084"/>
      <c r="L440" s="932"/>
    </row>
    <row r="441" spans="1:12" s="106" customFormat="1" ht="15.75" hidden="1" customHeight="1" outlineLevel="1">
      <c r="A441" s="932"/>
      <c r="B441" s="1087"/>
      <c r="C441" s="1096"/>
      <c r="D441" s="1092"/>
      <c r="E441" s="1092"/>
      <c r="F441" s="1094"/>
      <c r="G441" s="103"/>
      <c r="H441" s="840"/>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839"/>
      <c r="I442" s="1091"/>
      <c r="J442" s="1083"/>
      <c r="K442" s="1083"/>
      <c r="L442" s="932"/>
    </row>
    <row r="443" spans="1:12" s="106" customFormat="1" ht="15.75" hidden="1" customHeight="1" outlineLevel="1">
      <c r="A443" s="932"/>
      <c r="B443" s="1086"/>
      <c r="C443" s="1095"/>
      <c r="D443" s="1091"/>
      <c r="E443" s="1091"/>
      <c r="F443" s="1093"/>
      <c r="G443" s="98"/>
      <c r="H443" s="839"/>
      <c r="I443" s="1091"/>
      <c r="J443" s="1084"/>
      <c r="K443" s="1084"/>
      <c r="L443" s="932"/>
    </row>
    <row r="444" spans="1:12" s="106" customFormat="1" ht="15.75" hidden="1" customHeight="1" outlineLevel="1">
      <c r="A444" s="932"/>
      <c r="B444" s="1087"/>
      <c r="C444" s="1096"/>
      <c r="D444" s="1092"/>
      <c r="E444" s="1092"/>
      <c r="F444" s="1094"/>
      <c r="G444" s="103"/>
      <c r="H444" s="840"/>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839"/>
      <c r="I445" s="1091"/>
      <c r="J445" s="1083"/>
      <c r="K445" s="1083"/>
      <c r="L445" s="932"/>
    </row>
    <row r="446" spans="1:12" s="106" customFormat="1" ht="15.75" hidden="1" customHeight="1" outlineLevel="1">
      <c r="A446" s="932"/>
      <c r="B446" s="1086"/>
      <c r="C446" s="1095"/>
      <c r="D446" s="1091"/>
      <c r="E446" s="1091"/>
      <c r="F446" s="1093"/>
      <c r="G446" s="98"/>
      <c r="H446" s="839"/>
      <c r="I446" s="1091"/>
      <c r="J446" s="1084"/>
      <c r="K446" s="1084"/>
      <c r="L446" s="932"/>
    </row>
    <row r="447" spans="1:12" s="106" customFormat="1" ht="15.75" hidden="1" customHeight="1" outlineLevel="1">
      <c r="A447" s="932"/>
      <c r="B447" s="1087"/>
      <c r="C447" s="1096"/>
      <c r="D447" s="1092"/>
      <c r="E447" s="1092"/>
      <c r="F447" s="1094"/>
      <c r="G447" s="103"/>
      <c r="H447" s="840"/>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839"/>
      <c r="I448" s="1091"/>
      <c r="J448" s="1083"/>
      <c r="K448" s="1083"/>
      <c r="L448" s="932"/>
    </row>
    <row r="449" spans="1:12" s="106" customFormat="1" ht="15.75" hidden="1" customHeight="1" outlineLevel="1">
      <c r="A449" s="932"/>
      <c r="B449" s="1086"/>
      <c r="C449" s="1095"/>
      <c r="D449" s="1091"/>
      <c r="E449" s="1091"/>
      <c r="F449" s="1093"/>
      <c r="G449" s="98"/>
      <c r="H449" s="839"/>
      <c r="I449" s="1091"/>
      <c r="J449" s="1084"/>
      <c r="K449" s="1084"/>
      <c r="L449" s="932"/>
    </row>
    <row r="450" spans="1:12" s="106" customFormat="1" ht="15.75" hidden="1" customHeight="1" outlineLevel="1">
      <c r="A450" s="932"/>
      <c r="B450" s="1087"/>
      <c r="C450" s="1096"/>
      <c r="D450" s="1092"/>
      <c r="E450" s="1092"/>
      <c r="F450" s="1094"/>
      <c r="G450" s="103"/>
      <c r="H450" s="840"/>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839"/>
      <c r="I451" s="1091"/>
      <c r="J451" s="1083"/>
      <c r="K451" s="1083"/>
      <c r="L451" s="932"/>
    </row>
    <row r="452" spans="1:12" s="106" customFormat="1" ht="15.75" hidden="1" customHeight="1" outlineLevel="1">
      <c r="A452" s="932"/>
      <c r="B452" s="1086"/>
      <c r="C452" s="1095"/>
      <c r="D452" s="1091"/>
      <c r="E452" s="1091"/>
      <c r="F452" s="1093"/>
      <c r="G452" s="98"/>
      <c r="H452" s="839"/>
      <c r="I452" s="1091"/>
      <c r="J452" s="1084"/>
      <c r="K452" s="1084"/>
      <c r="L452" s="932"/>
    </row>
    <row r="453" spans="1:12" s="106" customFormat="1" ht="15.75" hidden="1" customHeight="1" outlineLevel="1">
      <c r="A453" s="932"/>
      <c r="B453" s="1087"/>
      <c r="C453" s="1096"/>
      <c r="D453" s="1092"/>
      <c r="E453" s="1092"/>
      <c r="F453" s="1094"/>
      <c r="G453" s="103"/>
      <c r="H453" s="840"/>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839"/>
      <c r="I454" s="1091"/>
      <c r="J454" s="1083"/>
      <c r="K454" s="1083"/>
      <c r="L454" s="932"/>
    </row>
    <row r="455" spans="1:12" s="106" customFormat="1" ht="15.75" hidden="1" customHeight="1" outlineLevel="1">
      <c r="A455" s="932"/>
      <c r="B455" s="1086"/>
      <c r="C455" s="1095"/>
      <c r="D455" s="1091"/>
      <c r="E455" s="1091"/>
      <c r="F455" s="1093"/>
      <c r="G455" s="98"/>
      <c r="H455" s="839"/>
      <c r="I455" s="1091"/>
      <c r="J455" s="1084"/>
      <c r="K455" s="1084"/>
      <c r="L455" s="932"/>
    </row>
    <row r="456" spans="1:12" s="106" customFormat="1" ht="15.75" hidden="1" customHeight="1" outlineLevel="1">
      <c r="A456" s="932"/>
      <c r="B456" s="1087"/>
      <c r="C456" s="1096"/>
      <c r="D456" s="1092"/>
      <c r="E456" s="1092"/>
      <c r="F456" s="1094"/>
      <c r="G456" s="103"/>
      <c r="H456" s="840"/>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839"/>
      <c r="I457" s="1091"/>
      <c r="J457" s="1083"/>
      <c r="K457" s="1083"/>
      <c r="L457" s="932"/>
    </row>
    <row r="458" spans="1:12" s="106" customFormat="1" ht="15.75" hidden="1" customHeight="1" outlineLevel="1">
      <c r="A458" s="932"/>
      <c r="B458" s="1086"/>
      <c r="C458" s="1095"/>
      <c r="D458" s="1091"/>
      <c r="E458" s="1091"/>
      <c r="F458" s="1093"/>
      <c r="G458" s="98"/>
      <c r="H458" s="839"/>
      <c r="I458" s="1091"/>
      <c r="J458" s="1084"/>
      <c r="K458" s="1084"/>
      <c r="L458" s="932"/>
    </row>
    <row r="459" spans="1:12" s="106" customFormat="1" ht="15.75" hidden="1" customHeight="1" outlineLevel="1">
      <c r="A459" s="932"/>
      <c r="B459" s="1087"/>
      <c r="C459" s="1096"/>
      <c r="D459" s="1092"/>
      <c r="E459" s="1092"/>
      <c r="F459" s="1094"/>
      <c r="G459" s="103"/>
      <c r="H459" s="840"/>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839"/>
      <c r="I460" s="1091"/>
      <c r="J460" s="1083"/>
      <c r="K460" s="1083"/>
      <c r="L460" s="932"/>
    </row>
    <row r="461" spans="1:12" s="106" customFormat="1" ht="15.75" hidden="1" customHeight="1" outlineLevel="1">
      <c r="A461" s="932"/>
      <c r="B461" s="1086"/>
      <c r="C461" s="1095"/>
      <c r="D461" s="1091"/>
      <c r="E461" s="1091"/>
      <c r="F461" s="1093"/>
      <c r="G461" s="98"/>
      <c r="H461" s="839"/>
      <c r="I461" s="1091"/>
      <c r="J461" s="1084"/>
      <c r="K461" s="1084"/>
      <c r="L461" s="932"/>
    </row>
    <row r="462" spans="1:12" s="106" customFormat="1" ht="15.75" hidden="1" customHeight="1" outlineLevel="1">
      <c r="A462" s="932"/>
      <c r="B462" s="1087"/>
      <c r="C462" s="1096"/>
      <c r="D462" s="1092"/>
      <c r="E462" s="1092"/>
      <c r="F462" s="1094"/>
      <c r="G462" s="103"/>
      <c r="H462" s="840"/>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839"/>
      <c r="I463" s="1091"/>
      <c r="J463" s="1083"/>
      <c r="K463" s="1083"/>
      <c r="L463" s="932"/>
    </row>
    <row r="464" spans="1:12" s="106" customFormat="1" ht="15.75" hidden="1" customHeight="1" outlineLevel="1">
      <c r="A464" s="932"/>
      <c r="B464" s="1086"/>
      <c r="C464" s="1095"/>
      <c r="D464" s="1091"/>
      <c r="E464" s="1091"/>
      <c r="F464" s="1093"/>
      <c r="G464" s="98"/>
      <c r="H464" s="839"/>
      <c r="I464" s="1091"/>
      <c r="J464" s="1084"/>
      <c r="K464" s="1084"/>
      <c r="L464" s="932"/>
    </row>
    <row r="465" spans="1:12" s="106" customFormat="1" ht="15.75" hidden="1" customHeight="1" outlineLevel="1">
      <c r="A465" s="932"/>
      <c r="B465" s="1087"/>
      <c r="C465" s="1096"/>
      <c r="D465" s="1092"/>
      <c r="E465" s="1092"/>
      <c r="F465" s="1094"/>
      <c r="G465" s="103"/>
      <c r="H465" s="840"/>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839"/>
      <c r="I466" s="1091"/>
      <c r="J466" s="1083"/>
      <c r="K466" s="1083"/>
      <c r="L466" s="932"/>
    </row>
    <row r="467" spans="1:12" s="106" customFormat="1" ht="15.75" hidden="1" customHeight="1" outlineLevel="1">
      <c r="A467" s="932"/>
      <c r="B467" s="1086"/>
      <c r="C467" s="1095"/>
      <c r="D467" s="1091"/>
      <c r="E467" s="1091"/>
      <c r="F467" s="1093"/>
      <c r="G467" s="98"/>
      <c r="H467" s="839"/>
      <c r="I467" s="1091"/>
      <c r="J467" s="1084"/>
      <c r="K467" s="1084"/>
      <c r="L467" s="932"/>
    </row>
    <row r="468" spans="1:12" s="106" customFormat="1" ht="15.75" hidden="1" customHeight="1" outlineLevel="1">
      <c r="A468" s="932"/>
      <c r="B468" s="1087"/>
      <c r="C468" s="1096"/>
      <c r="D468" s="1092"/>
      <c r="E468" s="1092"/>
      <c r="F468" s="1094"/>
      <c r="G468" s="103"/>
      <c r="H468" s="840"/>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839"/>
      <c r="I469" s="1091"/>
      <c r="J469" s="1083"/>
      <c r="K469" s="1083"/>
      <c r="L469" s="932"/>
    </row>
    <row r="470" spans="1:12" s="106" customFormat="1" ht="15.75" hidden="1" customHeight="1" outlineLevel="1">
      <c r="A470" s="932"/>
      <c r="B470" s="1086"/>
      <c r="C470" s="1095"/>
      <c r="D470" s="1091"/>
      <c r="E470" s="1091"/>
      <c r="F470" s="1093"/>
      <c r="G470" s="98"/>
      <c r="H470" s="839"/>
      <c r="I470" s="1091"/>
      <c r="J470" s="1084"/>
      <c r="K470" s="1084"/>
      <c r="L470" s="932"/>
    </row>
    <row r="471" spans="1:12" s="106" customFormat="1" ht="15.75" hidden="1" customHeight="1" outlineLevel="1">
      <c r="A471" s="932"/>
      <c r="B471" s="1087"/>
      <c r="C471" s="1096"/>
      <c r="D471" s="1092"/>
      <c r="E471" s="1092"/>
      <c r="F471" s="1094"/>
      <c r="G471" s="103"/>
      <c r="H471" s="840"/>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839"/>
      <c r="I472" s="1091"/>
      <c r="J472" s="1083"/>
      <c r="K472" s="1083"/>
      <c r="L472" s="932"/>
    </row>
    <row r="473" spans="1:12" s="106" customFormat="1" ht="15.75" hidden="1" customHeight="1" outlineLevel="1">
      <c r="A473" s="932"/>
      <c r="B473" s="1086"/>
      <c r="C473" s="1095"/>
      <c r="D473" s="1091"/>
      <c r="E473" s="1091"/>
      <c r="F473" s="1093"/>
      <c r="G473" s="98"/>
      <c r="H473" s="839"/>
      <c r="I473" s="1091"/>
      <c r="J473" s="1084"/>
      <c r="K473" s="1084"/>
      <c r="L473" s="932"/>
    </row>
    <row r="474" spans="1:12" s="106" customFormat="1" ht="15.75" hidden="1" customHeight="1" outlineLevel="1">
      <c r="A474" s="932"/>
      <c r="B474" s="1087"/>
      <c r="C474" s="1096"/>
      <c r="D474" s="1092"/>
      <c r="E474" s="1092"/>
      <c r="F474" s="1094"/>
      <c r="G474" s="103"/>
      <c r="H474" s="840"/>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839"/>
      <c r="I475" s="1091"/>
      <c r="J475" s="1083"/>
      <c r="K475" s="1083"/>
      <c r="L475" s="932"/>
    </row>
    <row r="476" spans="1:12" s="106" customFormat="1" ht="15.75" hidden="1" customHeight="1" outlineLevel="1">
      <c r="A476" s="932"/>
      <c r="B476" s="1086"/>
      <c r="C476" s="1095"/>
      <c r="D476" s="1091"/>
      <c r="E476" s="1091"/>
      <c r="F476" s="1093"/>
      <c r="G476" s="98"/>
      <c r="H476" s="839"/>
      <c r="I476" s="1091"/>
      <c r="J476" s="1084"/>
      <c r="K476" s="1084"/>
      <c r="L476" s="932"/>
    </row>
    <row r="477" spans="1:12" s="106" customFormat="1" ht="15.75" hidden="1" customHeight="1" outlineLevel="1">
      <c r="A477" s="932"/>
      <c r="B477" s="1087"/>
      <c r="C477" s="1096"/>
      <c r="D477" s="1092"/>
      <c r="E477" s="1092"/>
      <c r="F477" s="1094"/>
      <c r="G477" s="103"/>
      <c r="H477" s="840"/>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839"/>
      <c r="I478" s="1091"/>
      <c r="J478" s="1083"/>
      <c r="K478" s="1083"/>
      <c r="L478" s="932"/>
    </row>
    <row r="479" spans="1:12" s="106" customFormat="1" ht="15.75" hidden="1" customHeight="1" outlineLevel="1">
      <c r="A479" s="932"/>
      <c r="B479" s="1086"/>
      <c r="C479" s="1095"/>
      <c r="D479" s="1091"/>
      <c r="E479" s="1091"/>
      <c r="F479" s="1093"/>
      <c r="G479" s="98"/>
      <c r="H479" s="839"/>
      <c r="I479" s="1091"/>
      <c r="J479" s="1084"/>
      <c r="K479" s="1084"/>
      <c r="L479" s="932"/>
    </row>
    <row r="480" spans="1:12" s="106" customFormat="1" ht="15.75" hidden="1" customHeight="1" outlineLevel="1">
      <c r="A480" s="932"/>
      <c r="B480" s="1087"/>
      <c r="C480" s="1096"/>
      <c r="D480" s="1092"/>
      <c r="E480" s="1092"/>
      <c r="F480" s="1094"/>
      <c r="G480" s="103"/>
      <c r="H480" s="840"/>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839"/>
      <c r="I481" s="1091"/>
      <c r="J481" s="1083"/>
      <c r="K481" s="1083"/>
      <c r="L481" s="932"/>
    </row>
    <row r="482" spans="1:12" s="106" customFormat="1" ht="15.75" hidden="1" customHeight="1" outlineLevel="1">
      <c r="A482" s="932"/>
      <c r="B482" s="1086"/>
      <c r="C482" s="1095"/>
      <c r="D482" s="1091"/>
      <c r="E482" s="1091"/>
      <c r="F482" s="1093"/>
      <c r="G482" s="98"/>
      <c r="H482" s="839"/>
      <c r="I482" s="1091"/>
      <c r="J482" s="1084"/>
      <c r="K482" s="1084"/>
      <c r="L482" s="932"/>
    </row>
    <row r="483" spans="1:12" s="106" customFormat="1" ht="15.75" hidden="1" customHeight="1" outlineLevel="1">
      <c r="A483" s="932"/>
      <c r="B483" s="1087"/>
      <c r="C483" s="1096"/>
      <c r="D483" s="1092"/>
      <c r="E483" s="1092"/>
      <c r="F483" s="1094"/>
      <c r="G483" s="103"/>
      <c r="H483" s="840"/>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839"/>
      <c r="I484" s="1091"/>
      <c r="J484" s="1083"/>
      <c r="K484" s="1083"/>
      <c r="L484" s="932"/>
    </row>
    <row r="485" spans="1:12" s="106" customFormat="1" ht="15.75" hidden="1" customHeight="1" outlineLevel="1">
      <c r="A485" s="932"/>
      <c r="B485" s="1086"/>
      <c r="C485" s="1095"/>
      <c r="D485" s="1091"/>
      <c r="E485" s="1091"/>
      <c r="F485" s="1093"/>
      <c r="G485" s="98"/>
      <c r="H485" s="839"/>
      <c r="I485" s="1091"/>
      <c r="J485" s="1084"/>
      <c r="K485" s="1084"/>
      <c r="L485" s="932"/>
    </row>
    <row r="486" spans="1:12" s="106" customFormat="1" ht="15.75" hidden="1" customHeight="1" outlineLevel="1">
      <c r="A486" s="932"/>
      <c r="B486" s="1087"/>
      <c r="C486" s="1096"/>
      <c r="D486" s="1092"/>
      <c r="E486" s="1092"/>
      <c r="F486" s="1094"/>
      <c r="G486" s="103"/>
      <c r="H486" s="840"/>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839"/>
      <c r="I487" s="1091"/>
      <c r="J487" s="1083"/>
      <c r="K487" s="1083"/>
      <c r="L487" s="932"/>
    </row>
    <row r="488" spans="1:12" s="106" customFormat="1" ht="15.75" hidden="1" customHeight="1" outlineLevel="1">
      <c r="A488" s="932"/>
      <c r="B488" s="1086"/>
      <c r="C488" s="1095"/>
      <c r="D488" s="1091"/>
      <c r="E488" s="1091"/>
      <c r="F488" s="1093"/>
      <c r="G488" s="98"/>
      <c r="H488" s="839"/>
      <c r="I488" s="1091"/>
      <c r="J488" s="1084"/>
      <c r="K488" s="1084"/>
      <c r="L488" s="932"/>
    </row>
    <row r="489" spans="1:12" s="106" customFormat="1" ht="15.75" hidden="1" customHeight="1" outlineLevel="1">
      <c r="A489" s="932"/>
      <c r="B489" s="1087"/>
      <c r="C489" s="1096"/>
      <c r="D489" s="1092"/>
      <c r="E489" s="1092"/>
      <c r="F489" s="1094"/>
      <c r="G489" s="103"/>
      <c r="H489" s="840"/>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839"/>
      <c r="I490" s="1091"/>
      <c r="J490" s="1083"/>
      <c r="K490" s="1083"/>
      <c r="L490" s="932"/>
    </row>
    <row r="491" spans="1:12" s="106" customFormat="1" ht="15.75" hidden="1" customHeight="1" outlineLevel="1">
      <c r="A491" s="932"/>
      <c r="B491" s="1086"/>
      <c r="C491" s="1095"/>
      <c r="D491" s="1091"/>
      <c r="E491" s="1091"/>
      <c r="F491" s="1093"/>
      <c r="G491" s="98"/>
      <c r="H491" s="839"/>
      <c r="I491" s="1091"/>
      <c r="J491" s="1084"/>
      <c r="K491" s="1084"/>
      <c r="L491" s="932"/>
    </row>
    <row r="492" spans="1:12" s="106" customFormat="1" ht="15.75" hidden="1" customHeight="1" outlineLevel="1">
      <c r="A492" s="932"/>
      <c r="B492" s="1087"/>
      <c r="C492" s="1096"/>
      <c r="D492" s="1092"/>
      <c r="E492" s="1092"/>
      <c r="F492" s="1094"/>
      <c r="G492" s="103"/>
      <c r="H492" s="840"/>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839"/>
      <c r="I493" s="1091"/>
      <c r="J493" s="1083"/>
      <c r="K493" s="1083"/>
      <c r="L493" s="932"/>
    </row>
    <row r="494" spans="1:12" s="106" customFormat="1" ht="15.75" hidden="1" customHeight="1" outlineLevel="1">
      <c r="A494" s="932"/>
      <c r="B494" s="1086"/>
      <c r="C494" s="1095"/>
      <c r="D494" s="1091"/>
      <c r="E494" s="1091"/>
      <c r="F494" s="1093"/>
      <c r="G494" s="98"/>
      <c r="H494" s="839"/>
      <c r="I494" s="1091"/>
      <c r="J494" s="1084"/>
      <c r="K494" s="1084"/>
      <c r="L494" s="932"/>
    </row>
    <row r="495" spans="1:12" s="106" customFormat="1" ht="15.75" hidden="1" customHeight="1" outlineLevel="1">
      <c r="A495" s="932"/>
      <c r="B495" s="1087"/>
      <c r="C495" s="1096"/>
      <c r="D495" s="1092"/>
      <c r="E495" s="1092"/>
      <c r="F495" s="1094"/>
      <c r="G495" s="103"/>
      <c r="H495" s="840"/>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839"/>
      <c r="I496" s="1091"/>
      <c r="J496" s="1083"/>
      <c r="K496" s="1083"/>
      <c r="L496" s="932"/>
    </row>
    <row r="497" spans="1:12" s="106" customFormat="1" ht="15.75" hidden="1" customHeight="1" outlineLevel="1">
      <c r="A497" s="932"/>
      <c r="B497" s="1086"/>
      <c r="C497" s="1095"/>
      <c r="D497" s="1091"/>
      <c r="E497" s="1091"/>
      <c r="F497" s="1093"/>
      <c r="G497" s="98"/>
      <c r="H497" s="839"/>
      <c r="I497" s="1091"/>
      <c r="J497" s="1084"/>
      <c r="K497" s="1084"/>
      <c r="L497" s="932"/>
    </row>
    <row r="498" spans="1:12" s="106" customFormat="1" ht="15.75" hidden="1" customHeight="1" outlineLevel="1">
      <c r="A498" s="932"/>
      <c r="B498" s="1087"/>
      <c r="C498" s="1096"/>
      <c r="D498" s="1092"/>
      <c r="E498" s="1092"/>
      <c r="F498" s="1094"/>
      <c r="G498" s="103"/>
      <c r="H498" s="840"/>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839"/>
      <c r="I499" s="1091"/>
      <c r="J499" s="1083"/>
      <c r="K499" s="1083"/>
      <c r="L499" s="932"/>
    </row>
    <row r="500" spans="1:12" s="106" customFormat="1" ht="15.75" hidden="1" customHeight="1" outlineLevel="1">
      <c r="A500" s="932"/>
      <c r="B500" s="1086"/>
      <c r="C500" s="1095"/>
      <c r="D500" s="1091"/>
      <c r="E500" s="1091"/>
      <c r="F500" s="1093"/>
      <c r="G500" s="98"/>
      <c r="H500" s="839"/>
      <c r="I500" s="1091"/>
      <c r="J500" s="1084"/>
      <c r="K500" s="1084"/>
      <c r="L500" s="932"/>
    </row>
    <row r="501" spans="1:12" s="106" customFormat="1" ht="15.75" hidden="1" customHeight="1" outlineLevel="1">
      <c r="A501" s="932"/>
      <c r="B501" s="1087"/>
      <c r="C501" s="1096"/>
      <c r="D501" s="1092"/>
      <c r="E501" s="1092"/>
      <c r="F501" s="1094"/>
      <c r="G501" s="103"/>
      <c r="H501" s="840"/>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839"/>
      <c r="I502" s="1091"/>
      <c r="J502" s="1083"/>
      <c r="K502" s="1083"/>
      <c r="L502" s="932"/>
    </row>
    <row r="503" spans="1:12" s="106" customFormat="1" ht="15.75" hidden="1" customHeight="1" outlineLevel="1">
      <c r="A503" s="932"/>
      <c r="B503" s="1086"/>
      <c r="C503" s="1095"/>
      <c r="D503" s="1091"/>
      <c r="E503" s="1091"/>
      <c r="F503" s="1093"/>
      <c r="G503" s="98"/>
      <c r="H503" s="839"/>
      <c r="I503" s="1091"/>
      <c r="J503" s="1084"/>
      <c r="K503" s="1084"/>
      <c r="L503" s="932"/>
    </row>
    <row r="504" spans="1:12" s="106" customFormat="1" ht="15.75" hidden="1" customHeight="1" outlineLevel="1">
      <c r="A504" s="932"/>
      <c r="B504" s="1087"/>
      <c r="C504" s="1096"/>
      <c r="D504" s="1092"/>
      <c r="E504" s="1092"/>
      <c r="F504" s="1094"/>
      <c r="G504" s="103"/>
      <c r="H504" s="840"/>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839"/>
      <c r="I505" s="1091"/>
      <c r="J505" s="1083"/>
      <c r="K505" s="1083"/>
      <c r="L505" s="932"/>
    </row>
    <row r="506" spans="1:12" s="106" customFormat="1" ht="15.75" hidden="1" customHeight="1" outlineLevel="1">
      <c r="A506" s="932"/>
      <c r="B506" s="1086"/>
      <c r="C506" s="1095"/>
      <c r="D506" s="1091"/>
      <c r="E506" s="1091"/>
      <c r="F506" s="1093"/>
      <c r="G506" s="98"/>
      <c r="H506" s="839"/>
      <c r="I506" s="1091"/>
      <c r="J506" s="1084"/>
      <c r="K506" s="1084"/>
      <c r="L506" s="932"/>
    </row>
    <row r="507" spans="1:12" s="106" customFormat="1" ht="15.75" hidden="1" customHeight="1" outlineLevel="1">
      <c r="A507" s="932"/>
      <c r="B507" s="1087"/>
      <c r="C507" s="1096"/>
      <c r="D507" s="1092"/>
      <c r="E507" s="1092"/>
      <c r="F507" s="1094"/>
      <c r="G507" s="103"/>
      <c r="H507" s="840"/>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839"/>
      <c r="I508" s="1091"/>
      <c r="J508" s="1083"/>
      <c r="K508" s="1083"/>
      <c r="L508" s="932"/>
    </row>
    <row r="509" spans="1:12" s="106" customFormat="1" ht="15.75" hidden="1" customHeight="1" outlineLevel="1">
      <c r="A509" s="932"/>
      <c r="B509" s="1086"/>
      <c r="C509" s="1095"/>
      <c r="D509" s="1091"/>
      <c r="E509" s="1091"/>
      <c r="F509" s="1093"/>
      <c r="G509" s="98"/>
      <c r="H509" s="839"/>
      <c r="I509" s="1091"/>
      <c r="J509" s="1084"/>
      <c r="K509" s="1084"/>
      <c r="L509" s="932"/>
    </row>
    <row r="510" spans="1:12" s="106" customFormat="1" ht="15.75" hidden="1" customHeight="1" outlineLevel="1">
      <c r="A510" s="932"/>
      <c r="B510" s="1087"/>
      <c r="C510" s="1096"/>
      <c r="D510" s="1092"/>
      <c r="E510" s="1092"/>
      <c r="F510" s="1094"/>
      <c r="G510" s="103"/>
      <c r="H510" s="840"/>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839"/>
      <c r="I511" s="1091"/>
      <c r="J511" s="1083"/>
      <c r="K511" s="1083"/>
      <c r="L511" s="932"/>
    </row>
    <row r="512" spans="1:12" s="106" customFormat="1" ht="15.75" hidden="1" customHeight="1" outlineLevel="1">
      <c r="A512" s="932"/>
      <c r="B512" s="1086"/>
      <c r="C512" s="1095"/>
      <c r="D512" s="1091"/>
      <c r="E512" s="1091"/>
      <c r="F512" s="1093"/>
      <c r="G512" s="98"/>
      <c r="H512" s="839"/>
      <c r="I512" s="1091"/>
      <c r="J512" s="1084"/>
      <c r="K512" s="1084"/>
      <c r="L512" s="932"/>
    </row>
    <row r="513" spans="1:12" s="106" customFormat="1" ht="15.75" hidden="1" customHeight="1" outlineLevel="1">
      <c r="A513" s="932"/>
      <c r="B513" s="1087"/>
      <c r="C513" s="1096"/>
      <c r="D513" s="1092"/>
      <c r="E513" s="1092"/>
      <c r="F513" s="1094"/>
      <c r="G513" s="103"/>
      <c r="H513" s="840"/>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839"/>
      <c r="I514" s="1091"/>
      <c r="J514" s="1083"/>
      <c r="K514" s="1083"/>
      <c r="L514" s="932"/>
    </row>
    <row r="515" spans="1:12" s="106" customFormat="1" ht="15.75" hidden="1" customHeight="1" outlineLevel="1">
      <c r="A515" s="932"/>
      <c r="B515" s="1086"/>
      <c r="C515" s="1095"/>
      <c r="D515" s="1091"/>
      <c r="E515" s="1091"/>
      <c r="F515" s="1093"/>
      <c r="G515" s="98"/>
      <c r="H515" s="839"/>
      <c r="I515" s="1091"/>
      <c r="J515" s="1084"/>
      <c r="K515" s="1084"/>
      <c r="L515" s="932"/>
    </row>
    <row r="516" spans="1:12" s="106" customFormat="1" ht="15.75" hidden="1" customHeight="1" outlineLevel="1">
      <c r="A516" s="932"/>
      <c r="B516" s="1087"/>
      <c r="C516" s="1096"/>
      <c r="D516" s="1092"/>
      <c r="E516" s="1092"/>
      <c r="F516" s="1094"/>
      <c r="G516" s="103"/>
      <c r="H516" s="840"/>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839"/>
      <c r="I517" s="1091"/>
      <c r="J517" s="1083"/>
      <c r="K517" s="1083"/>
      <c r="L517" s="932"/>
    </row>
    <row r="518" spans="1:12" s="106" customFormat="1" ht="15.75" hidden="1" customHeight="1" outlineLevel="1">
      <c r="A518" s="932"/>
      <c r="B518" s="1086"/>
      <c r="C518" s="1095"/>
      <c r="D518" s="1091"/>
      <c r="E518" s="1091"/>
      <c r="F518" s="1093"/>
      <c r="G518" s="98"/>
      <c r="H518" s="839"/>
      <c r="I518" s="1091"/>
      <c r="J518" s="1084"/>
      <c r="K518" s="1084"/>
      <c r="L518" s="932"/>
    </row>
    <row r="519" spans="1:12" s="106" customFormat="1" ht="15.75" hidden="1" customHeight="1" outlineLevel="1">
      <c r="A519" s="932"/>
      <c r="B519" s="1087"/>
      <c r="C519" s="1096"/>
      <c r="D519" s="1092"/>
      <c r="E519" s="1092"/>
      <c r="F519" s="1094"/>
      <c r="G519" s="103"/>
      <c r="H519" s="840"/>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839"/>
      <c r="I520" s="1091"/>
      <c r="J520" s="1083"/>
      <c r="K520" s="1083"/>
      <c r="L520" s="932"/>
    </row>
    <row r="521" spans="1:12" s="106" customFormat="1" ht="15.75" hidden="1" customHeight="1" outlineLevel="1">
      <c r="A521" s="932"/>
      <c r="B521" s="1086"/>
      <c r="C521" s="1095"/>
      <c r="D521" s="1091"/>
      <c r="E521" s="1091"/>
      <c r="F521" s="1093"/>
      <c r="G521" s="98"/>
      <c r="H521" s="839"/>
      <c r="I521" s="1091"/>
      <c r="J521" s="1084"/>
      <c r="K521" s="1084"/>
      <c r="L521" s="932"/>
    </row>
    <row r="522" spans="1:12" s="106" customFormat="1" ht="15.75" hidden="1" customHeight="1" outlineLevel="1">
      <c r="A522" s="932"/>
      <c r="B522" s="1087"/>
      <c r="C522" s="1096"/>
      <c r="D522" s="1092"/>
      <c r="E522" s="1092"/>
      <c r="F522" s="1094"/>
      <c r="G522" s="103"/>
      <c r="H522" s="840"/>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839"/>
      <c r="I523" s="1091"/>
      <c r="J523" s="1083"/>
      <c r="K523" s="1083"/>
      <c r="L523" s="932"/>
    </row>
    <row r="524" spans="1:12" s="106" customFormat="1" ht="15.75" hidden="1" customHeight="1" outlineLevel="1">
      <c r="A524" s="932"/>
      <c r="B524" s="1086"/>
      <c r="C524" s="1095"/>
      <c r="D524" s="1091"/>
      <c r="E524" s="1091"/>
      <c r="F524" s="1093"/>
      <c r="G524" s="98"/>
      <c r="H524" s="839"/>
      <c r="I524" s="1091"/>
      <c r="J524" s="1084"/>
      <c r="K524" s="1084"/>
      <c r="L524" s="932"/>
    </row>
    <row r="525" spans="1:12" s="106" customFormat="1" ht="15.75" hidden="1" customHeight="1" outlineLevel="1">
      <c r="A525" s="932"/>
      <c r="B525" s="1087"/>
      <c r="C525" s="1096"/>
      <c r="D525" s="1092"/>
      <c r="E525" s="1092"/>
      <c r="F525" s="1094"/>
      <c r="G525" s="103"/>
      <c r="H525" s="840"/>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839"/>
      <c r="I526" s="1091"/>
      <c r="J526" s="1083"/>
      <c r="K526" s="1083"/>
      <c r="L526" s="932"/>
    </row>
    <row r="527" spans="1:12" s="106" customFormat="1" ht="15.75" hidden="1" customHeight="1" outlineLevel="1">
      <c r="A527" s="932"/>
      <c r="B527" s="1086"/>
      <c r="C527" s="1095"/>
      <c r="D527" s="1091"/>
      <c r="E527" s="1091"/>
      <c r="F527" s="1093"/>
      <c r="G527" s="98"/>
      <c r="H527" s="839"/>
      <c r="I527" s="1091"/>
      <c r="J527" s="1084"/>
      <c r="K527" s="1084"/>
      <c r="L527" s="932"/>
    </row>
    <row r="528" spans="1:12" s="106" customFormat="1" ht="15.75" hidden="1" customHeight="1" outlineLevel="1">
      <c r="A528" s="932"/>
      <c r="B528" s="1087"/>
      <c r="C528" s="1096"/>
      <c r="D528" s="1092"/>
      <c r="E528" s="1092"/>
      <c r="F528" s="1094"/>
      <c r="G528" s="103"/>
      <c r="H528" s="840"/>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839"/>
      <c r="I529" s="1091"/>
      <c r="J529" s="1083"/>
      <c r="K529" s="1083"/>
      <c r="L529" s="932"/>
    </row>
    <row r="530" spans="1:12" s="106" customFormat="1" ht="15.75" hidden="1" customHeight="1" outlineLevel="1">
      <c r="A530" s="932"/>
      <c r="B530" s="1086"/>
      <c r="C530" s="1095"/>
      <c r="D530" s="1091"/>
      <c r="E530" s="1091"/>
      <c r="F530" s="1093"/>
      <c r="G530" s="98"/>
      <c r="H530" s="839"/>
      <c r="I530" s="1091"/>
      <c r="J530" s="1084"/>
      <c r="K530" s="1084"/>
      <c r="L530" s="932"/>
    </row>
    <row r="531" spans="1:12" s="106" customFormat="1" ht="15.75" hidden="1" customHeight="1" outlineLevel="1">
      <c r="A531" s="932"/>
      <c r="B531" s="1087"/>
      <c r="C531" s="1096"/>
      <c r="D531" s="1092"/>
      <c r="E531" s="1092"/>
      <c r="F531" s="1094"/>
      <c r="G531" s="103"/>
      <c r="H531" s="840"/>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839"/>
      <c r="I532" s="1091"/>
      <c r="J532" s="1083"/>
      <c r="K532" s="1083"/>
      <c r="L532" s="932"/>
    </row>
    <row r="533" spans="1:12" s="106" customFormat="1" ht="15.75" hidden="1" customHeight="1" outlineLevel="1">
      <c r="A533" s="932"/>
      <c r="B533" s="1086"/>
      <c r="C533" s="1095"/>
      <c r="D533" s="1091"/>
      <c r="E533" s="1091"/>
      <c r="F533" s="1093"/>
      <c r="G533" s="98"/>
      <c r="H533" s="839"/>
      <c r="I533" s="1091"/>
      <c r="J533" s="1084"/>
      <c r="K533" s="1084"/>
      <c r="L533" s="932"/>
    </row>
    <row r="534" spans="1:12" s="106" customFormat="1" ht="15.75" hidden="1" customHeight="1" outlineLevel="1">
      <c r="A534" s="932"/>
      <c r="B534" s="1087"/>
      <c r="C534" s="1096"/>
      <c r="D534" s="1092"/>
      <c r="E534" s="1092"/>
      <c r="F534" s="1094"/>
      <c r="G534" s="103"/>
      <c r="H534" s="840"/>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839"/>
      <c r="I535" s="1091"/>
      <c r="J535" s="1083"/>
      <c r="K535" s="1083"/>
      <c r="L535" s="932"/>
    </row>
    <row r="536" spans="1:12" s="106" customFormat="1" ht="15.75" hidden="1" customHeight="1" outlineLevel="1">
      <c r="A536" s="932"/>
      <c r="B536" s="1086"/>
      <c r="C536" s="1095"/>
      <c r="D536" s="1091"/>
      <c r="E536" s="1091"/>
      <c r="F536" s="1093"/>
      <c r="G536" s="98"/>
      <c r="H536" s="839"/>
      <c r="I536" s="1091"/>
      <c r="J536" s="1084"/>
      <c r="K536" s="1084"/>
      <c r="L536" s="932"/>
    </row>
    <row r="537" spans="1:12" s="106" customFormat="1" ht="15.75" hidden="1" customHeight="1" outlineLevel="1">
      <c r="A537" s="932"/>
      <c r="B537" s="1087"/>
      <c r="C537" s="1096"/>
      <c r="D537" s="1092"/>
      <c r="E537" s="1092"/>
      <c r="F537" s="1094"/>
      <c r="G537" s="103"/>
      <c r="H537" s="840"/>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839"/>
      <c r="I538" s="1091"/>
      <c r="J538" s="1083"/>
      <c r="K538" s="1083"/>
      <c r="L538" s="932"/>
    </row>
    <row r="539" spans="1:12" s="106" customFormat="1" ht="15.75" hidden="1" customHeight="1" outlineLevel="1">
      <c r="A539" s="932"/>
      <c r="B539" s="1086"/>
      <c r="C539" s="1095"/>
      <c r="D539" s="1091"/>
      <c r="E539" s="1091"/>
      <c r="F539" s="1093"/>
      <c r="G539" s="98"/>
      <c r="H539" s="839"/>
      <c r="I539" s="1091"/>
      <c r="J539" s="1084"/>
      <c r="K539" s="1084"/>
      <c r="L539" s="932"/>
    </row>
    <row r="540" spans="1:12" s="106" customFormat="1" ht="15.75" hidden="1" customHeight="1" outlineLevel="1">
      <c r="A540" s="932"/>
      <c r="B540" s="1087"/>
      <c r="C540" s="1096"/>
      <c r="D540" s="1092"/>
      <c r="E540" s="1092"/>
      <c r="F540" s="1094"/>
      <c r="G540" s="103"/>
      <c r="H540" s="840"/>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839"/>
      <c r="I541" s="1091"/>
      <c r="J541" s="1083"/>
      <c r="K541" s="1083"/>
      <c r="L541" s="932"/>
    </row>
    <row r="542" spans="1:12" s="106" customFormat="1" ht="15.75" hidden="1" customHeight="1" outlineLevel="1">
      <c r="A542" s="932"/>
      <c r="B542" s="1086"/>
      <c r="C542" s="1095"/>
      <c r="D542" s="1091"/>
      <c r="E542" s="1091"/>
      <c r="F542" s="1093"/>
      <c r="G542" s="98"/>
      <c r="H542" s="839"/>
      <c r="I542" s="1091"/>
      <c r="J542" s="1084"/>
      <c r="K542" s="1084"/>
      <c r="L542" s="932"/>
    </row>
    <row r="543" spans="1:12" s="106" customFormat="1" ht="15.75" hidden="1" customHeight="1" outlineLevel="1">
      <c r="A543" s="932"/>
      <c r="B543" s="1087"/>
      <c r="C543" s="1096"/>
      <c r="D543" s="1092"/>
      <c r="E543" s="1092"/>
      <c r="F543" s="1094"/>
      <c r="G543" s="103"/>
      <c r="H543" s="840"/>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839"/>
      <c r="I544" s="1091"/>
      <c r="J544" s="1083"/>
      <c r="K544" s="1083"/>
      <c r="L544" s="932"/>
    </row>
    <row r="545" spans="1:12" s="106" customFormat="1" ht="15.75" hidden="1" customHeight="1" outlineLevel="1">
      <c r="A545" s="932"/>
      <c r="B545" s="1086"/>
      <c r="C545" s="1095"/>
      <c r="D545" s="1091"/>
      <c r="E545" s="1091"/>
      <c r="F545" s="1093"/>
      <c r="G545" s="98"/>
      <c r="H545" s="839"/>
      <c r="I545" s="1091"/>
      <c r="J545" s="1084"/>
      <c r="K545" s="1084"/>
      <c r="L545" s="932"/>
    </row>
    <row r="546" spans="1:12" s="106" customFormat="1" ht="15.75" hidden="1" customHeight="1" outlineLevel="1">
      <c r="A546" s="932"/>
      <c r="B546" s="1087"/>
      <c r="C546" s="1096"/>
      <c r="D546" s="1092"/>
      <c r="E546" s="1092"/>
      <c r="F546" s="1094"/>
      <c r="G546" s="103"/>
      <c r="H546" s="840"/>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839"/>
      <c r="I547" s="1091"/>
      <c r="J547" s="1083"/>
      <c r="K547" s="1083"/>
      <c r="L547" s="932"/>
    </row>
    <row r="548" spans="1:12" s="106" customFormat="1" ht="15.75" hidden="1" customHeight="1" outlineLevel="1">
      <c r="A548" s="932"/>
      <c r="B548" s="1086"/>
      <c r="C548" s="1095"/>
      <c r="D548" s="1091"/>
      <c r="E548" s="1091"/>
      <c r="F548" s="1093"/>
      <c r="G548" s="98"/>
      <c r="H548" s="839"/>
      <c r="I548" s="1091"/>
      <c r="J548" s="1084"/>
      <c r="K548" s="1084"/>
      <c r="L548" s="932"/>
    </row>
    <row r="549" spans="1:12" s="106" customFormat="1" ht="15.75" hidden="1" customHeight="1" outlineLevel="1">
      <c r="A549" s="932"/>
      <c r="B549" s="1087"/>
      <c r="C549" s="1096"/>
      <c r="D549" s="1092"/>
      <c r="E549" s="1092"/>
      <c r="F549" s="1094"/>
      <c r="G549" s="103"/>
      <c r="H549" s="840"/>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839"/>
      <c r="I550" s="1091"/>
      <c r="J550" s="1083"/>
      <c r="K550" s="1083"/>
      <c r="L550" s="932"/>
    </row>
    <row r="551" spans="1:12" s="106" customFormat="1" ht="15.75" hidden="1" customHeight="1" outlineLevel="1">
      <c r="A551" s="932"/>
      <c r="B551" s="1086"/>
      <c r="C551" s="1095"/>
      <c r="D551" s="1091"/>
      <c r="E551" s="1091"/>
      <c r="F551" s="1093"/>
      <c r="G551" s="98"/>
      <c r="H551" s="839"/>
      <c r="I551" s="1091"/>
      <c r="J551" s="1084"/>
      <c r="K551" s="1084"/>
      <c r="L551" s="932"/>
    </row>
    <row r="552" spans="1:12" s="106" customFormat="1" ht="15.75" hidden="1" customHeight="1" outlineLevel="1">
      <c r="A552" s="932"/>
      <c r="B552" s="1087"/>
      <c r="C552" s="1096"/>
      <c r="D552" s="1092"/>
      <c r="E552" s="1092"/>
      <c r="F552" s="1094"/>
      <c r="G552" s="103"/>
      <c r="H552" s="840"/>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839"/>
      <c r="I553" s="1091"/>
      <c r="J553" s="1083"/>
      <c r="K553" s="1083"/>
      <c r="L553" s="932"/>
    </row>
    <row r="554" spans="1:12" s="106" customFormat="1" ht="15.75" hidden="1" customHeight="1" outlineLevel="1">
      <c r="A554" s="932"/>
      <c r="B554" s="1086"/>
      <c r="C554" s="1095"/>
      <c r="D554" s="1091"/>
      <c r="E554" s="1091"/>
      <c r="F554" s="1093"/>
      <c r="G554" s="98"/>
      <c r="H554" s="839"/>
      <c r="I554" s="1091"/>
      <c r="J554" s="1084"/>
      <c r="K554" s="1084"/>
      <c r="L554" s="932"/>
    </row>
    <row r="555" spans="1:12" s="106" customFormat="1" ht="15.75" hidden="1" customHeight="1" outlineLevel="1">
      <c r="A555" s="932"/>
      <c r="B555" s="1087"/>
      <c r="C555" s="1096"/>
      <c r="D555" s="1092"/>
      <c r="E555" s="1092"/>
      <c r="F555" s="1094"/>
      <c r="G555" s="103"/>
      <c r="H555" s="840"/>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839"/>
      <c r="I556" s="1091"/>
      <c r="J556" s="1083"/>
      <c r="K556" s="1083"/>
      <c r="L556" s="932"/>
    </row>
    <row r="557" spans="1:12" s="106" customFormat="1" ht="15.75" hidden="1" customHeight="1" outlineLevel="1">
      <c r="A557" s="932"/>
      <c r="B557" s="1086"/>
      <c r="C557" s="1095"/>
      <c r="D557" s="1091"/>
      <c r="E557" s="1091"/>
      <c r="F557" s="1093"/>
      <c r="G557" s="98"/>
      <c r="H557" s="839"/>
      <c r="I557" s="1091"/>
      <c r="J557" s="1084"/>
      <c r="K557" s="1084"/>
      <c r="L557" s="932"/>
    </row>
    <row r="558" spans="1:12" s="106" customFormat="1" ht="15.75" hidden="1" customHeight="1" outlineLevel="1">
      <c r="A558" s="932"/>
      <c r="B558" s="1087"/>
      <c r="C558" s="1096"/>
      <c r="D558" s="1092"/>
      <c r="E558" s="1092"/>
      <c r="F558" s="1094"/>
      <c r="G558" s="103"/>
      <c r="H558" s="840"/>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839"/>
      <c r="I559" s="1091"/>
      <c r="J559" s="1083"/>
      <c r="K559" s="1083"/>
      <c r="L559" s="932"/>
    </row>
    <row r="560" spans="1:12" s="106" customFormat="1" ht="15.75" hidden="1" customHeight="1" outlineLevel="1">
      <c r="A560" s="932"/>
      <c r="B560" s="1086"/>
      <c r="C560" s="1095"/>
      <c r="D560" s="1091"/>
      <c r="E560" s="1091"/>
      <c r="F560" s="1093"/>
      <c r="G560" s="98"/>
      <c r="H560" s="839"/>
      <c r="I560" s="1091"/>
      <c r="J560" s="1084"/>
      <c r="K560" s="1084"/>
      <c r="L560" s="932"/>
    </row>
    <row r="561" spans="1:12" s="106" customFormat="1" ht="15.75" hidden="1" customHeight="1" outlineLevel="1">
      <c r="A561" s="932"/>
      <c r="B561" s="1087"/>
      <c r="C561" s="1096"/>
      <c r="D561" s="1092"/>
      <c r="E561" s="1092"/>
      <c r="F561" s="1094"/>
      <c r="G561" s="103"/>
      <c r="H561" s="840"/>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839"/>
      <c r="I562" s="1091"/>
      <c r="J562" s="1083"/>
      <c r="K562" s="1083"/>
      <c r="L562" s="932"/>
    </row>
    <row r="563" spans="1:12" s="106" customFormat="1" ht="15.75" hidden="1" customHeight="1" outlineLevel="1">
      <c r="A563" s="932"/>
      <c r="B563" s="1086"/>
      <c r="C563" s="1095"/>
      <c r="D563" s="1091"/>
      <c r="E563" s="1091"/>
      <c r="F563" s="1093"/>
      <c r="G563" s="98"/>
      <c r="H563" s="839"/>
      <c r="I563" s="1091"/>
      <c r="J563" s="1084"/>
      <c r="K563" s="1084"/>
      <c r="L563" s="932"/>
    </row>
    <row r="564" spans="1:12" s="106" customFormat="1" ht="15.75" hidden="1" customHeight="1" outlineLevel="1">
      <c r="A564" s="932"/>
      <c r="B564" s="1087"/>
      <c r="C564" s="1096"/>
      <c r="D564" s="1092"/>
      <c r="E564" s="1092"/>
      <c r="F564" s="1094"/>
      <c r="G564" s="103"/>
      <c r="H564" s="840"/>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839"/>
      <c r="I565" s="1091"/>
      <c r="J565" s="1083"/>
      <c r="K565" s="1083"/>
      <c r="L565" s="932"/>
    </row>
    <row r="566" spans="1:12" s="106" customFormat="1" ht="15.75" hidden="1" customHeight="1" outlineLevel="1">
      <c r="A566" s="932"/>
      <c r="B566" s="1086"/>
      <c r="C566" s="1095"/>
      <c r="D566" s="1091"/>
      <c r="E566" s="1091"/>
      <c r="F566" s="1093"/>
      <c r="G566" s="98"/>
      <c r="H566" s="839"/>
      <c r="I566" s="1091"/>
      <c r="J566" s="1084"/>
      <c r="K566" s="1084"/>
      <c r="L566" s="932"/>
    </row>
    <row r="567" spans="1:12" s="106" customFormat="1" ht="15.75" hidden="1" customHeight="1" outlineLevel="1">
      <c r="A567" s="932"/>
      <c r="B567" s="1087"/>
      <c r="C567" s="1096"/>
      <c r="D567" s="1092"/>
      <c r="E567" s="1092"/>
      <c r="F567" s="1094"/>
      <c r="G567" s="103"/>
      <c r="H567" s="840"/>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839"/>
      <c r="I568" s="1091"/>
      <c r="J568" s="1083"/>
      <c r="K568" s="1083"/>
      <c r="L568" s="932"/>
    </row>
    <row r="569" spans="1:12" s="106" customFormat="1" ht="15.75" hidden="1" customHeight="1" outlineLevel="1">
      <c r="A569" s="932"/>
      <c r="B569" s="1086"/>
      <c r="C569" s="1095"/>
      <c r="D569" s="1091"/>
      <c r="E569" s="1091"/>
      <c r="F569" s="1093"/>
      <c r="G569" s="98"/>
      <c r="H569" s="839"/>
      <c r="I569" s="1091"/>
      <c r="J569" s="1084"/>
      <c r="K569" s="1084"/>
      <c r="L569" s="932"/>
    </row>
    <row r="570" spans="1:12" s="106" customFormat="1" ht="15.75" hidden="1" customHeight="1" outlineLevel="1">
      <c r="A570" s="932"/>
      <c r="B570" s="1087"/>
      <c r="C570" s="1096"/>
      <c r="D570" s="1092"/>
      <c r="E570" s="1092"/>
      <c r="F570" s="1094"/>
      <c r="G570" s="103"/>
      <c r="H570" s="840"/>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839"/>
      <c r="I571" s="1091"/>
      <c r="J571" s="1083"/>
      <c r="K571" s="1083"/>
      <c r="L571" s="932"/>
    </row>
    <row r="572" spans="1:12" s="106" customFormat="1" ht="15.75" hidden="1" customHeight="1" outlineLevel="1">
      <c r="A572" s="932"/>
      <c r="B572" s="1086"/>
      <c r="C572" s="1095"/>
      <c r="D572" s="1091"/>
      <c r="E572" s="1091"/>
      <c r="F572" s="1093"/>
      <c r="G572" s="98"/>
      <c r="H572" s="839"/>
      <c r="I572" s="1091"/>
      <c r="J572" s="1084"/>
      <c r="K572" s="1084"/>
      <c r="L572" s="932"/>
    </row>
    <row r="573" spans="1:12" s="106" customFormat="1" ht="15.75" hidden="1" customHeight="1" outlineLevel="1">
      <c r="A573" s="932"/>
      <c r="B573" s="1087"/>
      <c r="C573" s="1096"/>
      <c r="D573" s="1092"/>
      <c r="E573" s="1092"/>
      <c r="F573" s="1094"/>
      <c r="G573" s="103"/>
      <c r="H573" s="840"/>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839"/>
      <c r="I574" s="1091"/>
      <c r="J574" s="1083"/>
      <c r="K574" s="1083"/>
      <c r="L574" s="932"/>
    </row>
    <row r="575" spans="1:12" s="106" customFormat="1" ht="15.75" hidden="1" customHeight="1" outlineLevel="1">
      <c r="A575" s="932"/>
      <c r="B575" s="1086"/>
      <c r="C575" s="1095"/>
      <c r="D575" s="1091"/>
      <c r="E575" s="1091"/>
      <c r="F575" s="1093"/>
      <c r="G575" s="98"/>
      <c r="H575" s="839"/>
      <c r="I575" s="1091"/>
      <c r="J575" s="1084"/>
      <c r="K575" s="1084"/>
      <c r="L575" s="932"/>
    </row>
    <row r="576" spans="1:12" s="106" customFormat="1" ht="15.75" hidden="1" customHeight="1" outlineLevel="1">
      <c r="A576" s="932"/>
      <c r="B576" s="1087"/>
      <c r="C576" s="1096"/>
      <c r="D576" s="1092"/>
      <c r="E576" s="1092"/>
      <c r="F576" s="1094"/>
      <c r="G576" s="103"/>
      <c r="H576" s="840"/>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839"/>
      <c r="I577" s="1091"/>
      <c r="J577" s="1083"/>
      <c r="K577" s="1083"/>
      <c r="L577" s="932"/>
    </row>
    <row r="578" spans="1:12" s="106" customFormat="1" ht="15.75" hidden="1" customHeight="1" outlineLevel="1">
      <c r="A578" s="932"/>
      <c r="B578" s="1086"/>
      <c r="C578" s="1095"/>
      <c r="D578" s="1091"/>
      <c r="E578" s="1091"/>
      <c r="F578" s="1093"/>
      <c r="G578" s="98"/>
      <c r="H578" s="839"/>
      <c r="I578" s="1091"/>
      <c r="J578" s="1084"/>
      <c r="K578" s="1084"/>
      <c r="L578" s="932"/>
    </row>
    <row r="579" spans="1:12" s="106" customFormat="1" ht="15.75" hidden="1" customHeight="1" outlineLevel="1">
      <c r="A579" s="932"/>
      <c r="B579" s="1087"/>
      <c r="C579" s="1096"/>
      <c r="D579" s="1092"/>
      <c r="E579" s="1092"/>
      <c r="F579" s="1094"/>
      <c r="G579" s="103"/>
      <c r="H579" s="840"/>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839"/>
      <c r="I580" s="1091"/>
      <c r="J580" s="1083"/>
      <c r="K580" s="1083"/>
      <c r="L580" s="932"/>
    </row>
    <row r="581" spans="1:12" s="106" customFormat="1" ht="15.75" hidden="1" customHeight="1" outlineLevel="1">
      <c r="A581" s="932"/>
      <c r="B581" s="1086"/>
      <c r="C581" s="1095"/>
      <c r="D581" s="1091"/>
      <c r="E581" s="1091"/>
      <c r="F581" s="1093"/>
      <c r="G581" s="98"/>
      <c r="H581" s="839"/>
      <c r="I581" s="1091"/>
      <c r="J581" s="1084"/>
      <c r="K581" s="1084"/>
      <c r="L581" s="932"/>
    </row>
    <row r="582" spans="1:12" s="106" customFormat="1" ht="15.75" hidden="1" customHeight="1" outlineLevel="1">
      <c r="A582" s="932"/>
      <c r="B582" s="1087"/>
      <c r="C582" s="1096"/>
      <c r="D582" s="1092"/>
      <c r="E582" s="1092"/>
      <c r="F582" s="1094"/>
      <c r="G582" s="103"/>
      <c r="H582" s="840"/>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839"/>
      <c r="I583" s="1091"/>
      <c r="J583" s="1083"/>
      <c r="K583" s="1083"/>
      <c r="L583" s="932"/>
    </row>
    <row r="584" spans="1:12" s="106" customFormat="1" ht="15.75" hidden="1" customHeight="1" outlineLevel="1">
      <c r="A584" s="932"/>
      <c r="B584" s="1086"/>
      <c r="C584" s="1095"/>
      <c r="D584" s="1091"/>
      <c r="E584" s="1091"/>
      <c r="F584" s="1093"/>
      <c r="G584" s="98"/>
      <c r="H584" s="839"/>
      <c r="I584" s="1091"/>
      <c r="J584" s="1084"/>
      <c r="K584" s="1084"/>
      <c r="L584" s="932"/>
    </row>
    <row r="585" spans="1:12" s="106" customFormat="1" ht="15.75" hidden="1" customHeight="1" outlineLevel="1">
      <c r="A585" s="932"/>
      <c r="B585" s="1087"/>
      <c r="C585" s="1096"/>
      <c r="D585" s="1092"/>
      <c r="E585" s="1092"/>
      <c r="F585" s="1094"/>
      <c r="G585" s="103"/>
      <c r="H585" s="840"/>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839"/>
      <c r="I586" s="1091"/>
      <c r="J586" s="1083"/>
      <c r="K586" s="1083"/>
      <c r="L586" s="932"/>
    </row>
    <row r="587" spans="1:12" s="106" customFormat="1" ht="15.75" hidden="1" customHeight="1" outlineLevel="1">
      <c r="A587" s="932"/>
      <c r="B587" s="1086"/>
      <c r="C587" s="1095"/>
      <c r="D587" s="1091"/>
      <c r="E587" s="1091"/>
      <c r="F587" s="1093"/>
      <c r="G587" s="98"/>
      <c r="H587" s="839"/>
      <c r="I587" s="1091"/>
      <c r="J587" s="1084"/>
      <c r="K587" s="1084"/>
      <c r="L587" s="932"/>
    </row>
    <row r="588" spans="1:12" s="106" customFormat="1" ht="15.75" hidden="1" customHeight="1" outlineLevel="1">
      <c r="A588" s="932"/>
      <c r="B588" s="1087"/>
      <c r="C588" s="1096"/>
      <c r="D588" s="1092"/>
      <c r="E588" s="1092"/>
      <c r="F588" s="1094"/>
      <c r="G588" s="103"/>
      <c r="H588" s="840"/>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839"/>
      <c r="I589" s="1091"/>
      <c r="J589" s="1083"/>
      <c r="K589" s="1083"/>
      <c r="L589" s="932"/>
    </row>
    <row r="590" spans="1:12" s="106" customFormat="1" ht="15.75" hidden="1" customHeight="1" outlineLevel="1">
      <c r="A590" s="932"/>
      <c r="B590" s="1086"/>
      <c r="C590" s="1095"/>
      <c r="D590" s="1091"/>
      <c r="E590" s="1091"/>
      <c r="F590" s="1093"/>
      <c r="G590" s="98"/>
      <c r="H590" s="839"/>
      <c r="I590" s="1091"/>
      <c r="J590" s="1084"/>
      <c r="K590" s="1084"/>
      <c r="L590" s="932"/>
    </row>
    <row r="591" spans="1:12" s="106" customFormat="1" ht="15.75" hidden="1" customHeight="1" outlineLevel="1">
      <c r="A591" s="932"/>
      <c r="B591" s="1087"/>
      <c r="C591" s="1096"/>
      <c r="D591" s="1092"/>
      <c r="E591" s="1092"/>
      <c r="F591" s="1094"/>
      <c r="G591" s="103"/>
      <c r="H591" s="840"/>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839"/>
      <c r="I592" s="1091"/>
      <c r="J592" s="1083"/>
      <c r="K592" s="1083"/>
      <c r="L592" s="932"/>
    </row>
    <row r="593" spans="1:12" s="106" customFormat="1" ht="15.75" hidden="1" customHeight="1" outlineLevel="1">
      <c r="A593" s="932"/>
      <c r="B593" s="1086"/>
      <c r="C593" s="1095"/>
      <c r="D593" s="1091"/>
      <c r="E593" s="1091"/>
      <c r="F593" s="1093"/>
      <c r="G593" s="98"/>
      <c r="H593" s="839"/>
      <c r="I593" s="1091"/>
      <c r="J593" s="1084"/>
      <c r="K593" s="1084"/>
      <c r="L593" s="932"/>
    </row>
    <row r="594" spans="1:12" s="106" customFormat="1" ht="15.75" hidden="1" customHeight="1" outlineLevel="1">
      <c r="A594" s="932"/>
      <c r="B594" s="1087"/>
      <c r="C594" s="1096"/>
      <c r="D594" s="1092"/>
      <c r="E594" s="1092"/>
      <c r="F594" s="1094"/>
      <c r="G594" s="103"/>
      <c r="H594" s="840"/>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839"/>
      <c r="I595" s="1091"/>
      <c r="J595" s="1083"/>
      <c r="K595" s="1083"/>
      <c r="L595" s="932"/>
    </row>
    <row r="596" spans="1:12" s="106" customFormat="1" ht="15.75" hidden="1" customHeight="1" outlineLevel="1">
      <c r="A596" s="932"/>
      <c r="B596" s="1086"/>
      <c r="C596" s="1095"/>
      <c r="D596" s="1091"/>
      <c r="E596" s="1091"/>
      <c r="F596" s="1093"/>
      <c r="G596" s="98"/>
      <c r="H596" s="839"/>
      <c r="I596" s="1091"/>
      <c r="J596" s="1084"/>
      <c r="K596" s="1084"/>
      <c r="L596" s="932"/>
    </row>
    <row r="597" spans="1:12" s="106" customFormat="1" ht="15.75" hidden="1" customHeight="1" outlineLevel="1">
      <c r="A597" s="932"/>
      <c r="B597" s="1087"/>
      <c r="C597" s="1096"/>
      <c r="D597" s="1092"/>
      <c r="E597" s="1092"/>
      <c r="F597" s="1094"/>
      <c r="G597" s="103"/>
      <c r="H597" s="840"/>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839"/>
      <c r="I598" s="1091"/>
      <c r="J598" s="1083"/>
      <c r="K598" s="1083"/>
      <c r="L598" s="932"/>
    </row>
    <row r="599" spans="1:12" s="106" customFormat="1" ht="15.75" hidden="1" customHeight="1" outlineLevel="1">
      <c r="A599" s="932"/>
      <c r="B599" s="1086"/>
      <c r="C599" s="1095"/>
      <c r="D599" s="1091"/>
      <c r="E599" s="1091"/>
      <c r="F599" s="1093"/>
      <c r="G599" s="98"/>
      <c r="H599" s="839"/>
      <c r="I599" s="1091"/>
      <c r="J599" s="1084"/>
      <c r="K599" s="1084"/>
      <c r="L599" s="932"/>
    </row>
    <row r="600" spans="1:12" s="106" customFormat="1" ht="15.75" hidden="1" customHeight="1" outlineLevel="1">
      <c r="A600" s="932"/>
      <c r="B600" s="1087"/>
      <c r="C600" s="1096"/>
      <c r="D600" s="1092"/>
      <c r="E600" s="1092"/>
      <c r="F600" s="1094"/>
      <c r="G600" s="103"/>
      <c r="H600" s="840"/>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839"/>
      <c r="I601" s="1091"/>
      <c r="J601" s="1083"/>
      <c r="K601" s="1083"/>
      <c r="L601" s="932"/>
    </row>
    <row r="602" spans="1:12" s="106" customFormat="1" ht="15.75" hidden="1" customHeight="1" outlineLevel="1">
      <c r="A602" s="932"/>
      <c r="B602" s="1086"/>
      <c r="C602" s="1095"/>
      <c r="D602" s="1091"/>
      <c r="E602" s="1091"/>
      <c r="F602" s="1093"/>
      <c r="G602" s="98"/>
      <c r="H602" s="839"/>
      <c r="I602" s="1091"/>
      <c r="J602" s="1084"/>
      <c r="K602" s="1084"/>
      <c r="L602" s="932"/>
    </row>
    <row r="603" spans="1:12" s="106" customFormat="1" ht="15.75" hidden="1" customHeight="1" outlineLevel="1">
      <c r="A603" s="932"/>
      <c r="B603" s="1087"/>
      <c r="C603" s="1096"/>
      <c r="D603" s="1092"/>
      <c r="E603" s="1092"/>
      <c r="F603" s="1094"/>
      <c r="G603" s="103"/>
      <c r="H603" s="840"/>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839"/>
      <c r="I604" s="1091"/>
      <c r="J604" s="1083"/>
      <c r="K604" s="1083"/>
      <c r="L604" s="932"/>
    </row>
    <row r="605" spans="1:12" s="106" customFormat="1" ht="15.75" hidden="1" customHeight="1" outlineLevel="1">
      <c r="A605" s="932"/>
      <c r="B605" s="1086"/>
      <c r="C605" s="1095"/>
      <c r="D605" s="1091"/>
      <c r="E605" s="1091"/>
      <c r="F605" s="1093"/>
      <c r="G605" s="98"/>
      <c r="H605" s="839"/>
      <c r="I605" s="1091"/>
      <c r="J605" s="1084"/>
      <c r="K605" s="1084"/>
      <c r="L605" s="932"/>
    </row>
    <row r="606" spans="1:12" s="106" customFormat="1" ht="15.75" hidden="1" customHeight="1" outlineLevel="1">
      <c r="A606" s="932"/>
      <c r="B606" s="1087"/>
      <c r="C606" s="1096"/>
      <c r="D606" s="1092"/>
      <c r="E606" s="1092"/>
      <c r="F606" s="1094"/>
      <c r="G606" s="103"/>
      <c r="H606" s="840"/>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839"/>
      <c r="I607" s="1091"/>
      <c r="J607" s="1083"/>
      <c r="K607" s="1083"/>
      <c r="L607" s="932"/>
    </row>
    <row r="608" spans="1:12" s="106" customFormat="1" ht="15.75" hidden="1" customHeight="1" outlineLevel="1">
      <c r="A608" s="932"/>
      <c r="B608" s="1086"/>
      <c r="C608" s="1095"/>
      <c r="D608" s="1091"/>
      <c r="E608" s="1091"/>
      <c r="F608" s="1093"/>
      <c r="G608" s="98"/>
      <c r="H608" s="839"/>
      <c r="I608" s="1091"/>
      <c r="J608" s="1084"/>
      <c r="K608" s="1084"/>
      <c r="L608" s="932"/>
    </row>
    <row r="609" spans="1:12" s="106" customFormat="1" ht="15.75" hidden="1" customHeight="1" outlineLevel="1">
      <c r="A609" s="932"/>
      <c r="B609" s="1087"/>
      <c r="C609" s="1096"/>
      <c r="D609" s="1092"/>
      <c r="E609" s="1092"/>
      <c r="F609" s="1094"/>
      <c r="G609" s="103"/>
      <c r="H609" s="840"/>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row>
    <row r="611" spans="1:12" s="106" customFormat="1" ht="15.75" hidden="1" customHeight="1" outlineLevel="1">
      <c r="A611" s="932"/>
      <c r="B611" s="1086"/>
      <c r="C611" s="1089"/>
      <c r="D611" s="1091"/>
      <c r="E611" s="1091"/>
      <c r="F611" s="1093"/>
      <c r="G611" s="98"/>
      <c r="H611" s="839"/>
      <c r="I611" s="1091"/>
      <c r="J611" s="1084"/>
      <c r="K611" s="1084"/>
      <c r="L611" s="932"/>
    </row>
    <row r="612" spans="1:12" s="106" customFormat="1" ht="15.75" hidden="1" customHeight="1" outlineLevel="1" thickBot="1">
      <c r="A612" s="932"/>
      <c r="B612" s="1087"/>
      <c r="C612" s="1090"/>
      <c r="D612" s="1092"/>
      <c r="E612" s="1092"/>
      <c r="F612" s="1094"/>
      <c r="G612" s="103"/>
      <c r="H612" s="840"/>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xr:uid="{00000000-0002-0000-0E00-000000000000}">
      <formula1>$N$13:$N$17</formula1>
    </dataValidation>
  </dataValidations>
  <hyperlinks>
    <hyperlink ref="C1" location="Spis!B39" display="&gt;&gt; powrót do spisu treści" xr:uid="{00000000-0004-0000-0E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5" width="15.81640625" style="81" hidden="1" customWidth="1"/>
    <col min="16" max="16" width="0"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257</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94"/>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93"/>
      <c r="I142" s="1091"/>
      <c r="J142" s="1083"/>
      <c r="K142" s="1083"/>
      <c r="L142" s="932"/>
    </row>
    <row r="143" spans="1:12" s="106" customFormat="1" ht="15.75" hidden="1" customHeight="1" outlineLevel="1">
      <c r="A143" s="932"/>
      <c r="B143" s="1086"/>
      <c r="C143" s="1095"/>
      <c r="D143" s="1091"/>
      <c r="E143" s="1091"/>
      <c r="F143" s="1093"/>
      <c r="G143" s="98"/>
      <c r="H143" s="93"/>
      <c r="I143" s="1091"/>
      <c r="J143" s="1084"/>
      <c r="K143" s="1084"/>
      <c r="L143" s="932"/>
    </row>
    <row r="144" spans="1:12" s="106" customFormat="1" ht="15.75" hidden="1" customHeight="1" outlineLevel="1">
      <c r="A144" s="932"/>
      <c r="B144" s="1087"/>
      <c r="C144" s="1096"/>
      <c r="D144" s="1092"/>
      <c r="E144" s="1092"/>
      <c r="F144" s="1094"/>
      <c r="G144" s="103"/>
      <c r="H144" s="101"/>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93"/>
      <c r="I145" s="1091"/>
      <c r="J145" s="1083"/>
      <c r="K145" s="1083"/>
      <c r="L145" s="932"/>
    </row>
    <row r="146" spans="1:12" s="106" customFormat="1" ht="15.75" hidden="1" customHeight="1" outlineLevel="1">
      <c r="A146" s="932"/>
      <c r="B146" s="1086"/>
      <c r="C146" s="1095"/>
      <c r="D146" s="1091"/>
      <c r="E146" s="1091"/>
      <c r="F146" s="1093"/>
      <c r="G146" s="98"/>
      <c r="H146" s="93"/>
      <c r="I146" s="1091"/>
      <c r="J146" s="1084"/>
      <c r="K146" s="1084"/>
      <c r="L146" s="932"/>
    </row>
    <row r="147" spans="1:12" s="106" customFormat="1" ht="15.75" hidden="1" customHeight="1" outlineLevel="1">
      <c r="A147" s="932"/>
      <c r="B147" s="1087"/>
      <c r="C147" s="1096"/>
      <c r="D147" s="1092"/>
      <c r="E147" s="1092"/>
      <c r="F147" s="1094"/>
      <c r="G147" s="103"/>
      <c r="H147" s="101"/>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93"/>
      <c r="I148" s="1091"/>
      <c r="J148" s="1083"/>
      <c r="K148" s="1083"/>
      <c r="L148" s="932"/>
    </row>
    <row r="149" spans="1:12" s="106" customFormat="1" ht="15.75" hidden="1" customHeight="1" outlineLevel="1">
      <c r="A149" s="932"/>
      <c r="B149" s="1086"/>
      <c r="C149" s="1095"/>
      <c r="D149" s="1091"/>
      <c r="E149" s="1091"/>
      <c r="F149" s="1093"/>
      <c r="G149" s="98"/>
      <c r="H149" s="93"/>
      <c r="I149" s="1091"/>
      <c r="J149" s="1084"/>
      <c r="K149" s="1084"/>
      <c r="L149" s="932"/>
    </row>
    <row r="150" spans="1:12" s="106" customFormat="1" ht="15.75" hidden="1" customHeight="1" outlineLevel="1">
      <c r="A150" s="932"/>
      <c r="B150" s="1087"/>
      <c r="C150" s="1096"/>
      <c r="D150" s="1092"/>
      <c r="E150" s="1092"/>
      <c r="F150" s="1094"/>
      <c r="G150" s="103"/>
      <c r="H150" s="101"/>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93"/>
      <c r="I151" s="1091"/>
      <c r="J151" s="1083"/>
      <c r="K151" s="1083"/>
      <c r="L151" s="932"/>
    </row>
    <row r="152" spans="1:12" s="106" customFormat="1" ht="15.75" hidden="1" customHeight="1" outlineLevel="1">
      <c r="A152" s="932"/>
      <c r="B152" s="1086"/>
      <c r="C152" s="1095"/>
      <c r="D152" s="1091"/>
      <c r="E152" s="1091"/>
      <c r="F152" s="1093"/>
      <c r="G152" s="98"/>
      <c r="H152" s="93"/>
      <c r="I152" s="1091"/>
      <c r="J152" s="1084"/>
      <c r="K152" s="1084"/>
      <c r="L152" s="932"/>
    </row>
    <row r="153" spans="1:12" s="106" customFormat="1" ht="15.75" hidden="1" customHeight="1" outlineLevel="1">
      <c r="A153" s="932"/>
      <c r="B153" s="1087"/>
      <c r="C153" s="1096"/>
      <c r="D153" s="1092"/>
      <c r="E153" s="1092"/>
      <c r="F153" s="1094"/>
      <c r="G153" s="103"/>
      <c r="H153" s="101"/>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93"/>
      <c r="I154" s="1091"/>
      <c r="J154" s="1083"/>
      <c r="K154" s="1083"/>
      <c r="L154" s="932"/>
    </row>
    <row r="155" spans="1:12" s="106" customFormat="1" ht="15.75" hidden="1" customHeight="1" outlineLevel="1">
      <c r="A155" s="932"/>
      <c r="B155" s="1086"/>
      <c r="C155" s="1095"/>
      <c r="D155" s="1091"/>
      <c r="E155" s="1091"/>
      <c r="F155" s="1093"/>
      <c r="G155" s="98"/>
      <c r="H155" s="93"/>
      <c r="I155" s="1091"/>
      <c r="J155" s="1084"/>
      <c r="K155" s="1084"/>
      <c r="L155" s="932"/>
    </row>
    <row r="156" spans="1:12" s="106" customFormat="1" ht="15.75" hidden="1" customHeight="1" outlineLevel="1">
      <c r="A156" s="932"/>
      <c r="B156" s="1087"/>
      <c r="C156" s="1096"/>
      <c r="D156" s="1092"/>
      <c r="E156" s="1092"/>
      <c r="F156" s="1094"/>
      <c r="G156" s="103"/>
      <c r="H156" s="101"/>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93"/>
      <c r="I157" s="1091"/>
      <c r="J157" s="1083"/>
      <c r="K157" s="1083"/>
      <c r="L157" s="932"/>
    </row>
    <row r="158" spans="1:12" s="106" customFormat="1" ht="15.75" hidden="1" customHeight="1" outlineLevel="1">
      <c r="A158" s="932"/>
      <c r="B158" s="1086"/>
      <c r="C158" s="1095"/>
      <c r="D158" s="1091"/>
      <c r="E158" s="1091"/>
      <c r="F158" s="1093"/>
      <c r="G158" s="98"/>
      <c r="H158" s="93"/>
      <c r="I158" s="1091"/>
      <c r="J158" s="1084"/>
      <c r="K158" s="1084"/>
      <c r="L158" s="932"/>
    </row>
    <row r="159" spans="1:12" s="106" customFormat="1" ht="15.75" hidden="1" customHeight="1" outlineLevel="1">
      <c r="A159" s="932"/>
      <c r="B159" s="1087"/>
      <c r="C159" s="1096"/>
      <c r="D159" s="1092"/>
      <c r="E159" s="1092"/>
      <c r="F159" s="1094"/>
      <c r="G159" s="103"/>
      <c r="H159" s="101"/>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93"/>
      <c r="I160" s="1091"/>
      <c r="J160" s="1083"/>
      <c r="K160" s="1083"/>
      <c r="L160" s="932"/>
    </row>
    <row r="161" spans="1:12" s="106" customFormat="1" ht="15.75" hidden="1" customHeight="1" outlineLevel="1">
      <c r="A161" s="932"/>
      <c r="B161" s="1086"/>
      <c r="C161" s="1095"/>
      <c r="D161" s="1091"/>
      <c r="E161" s="1091"/>
      <c r="F161" s="1093"/>
      <c r="G161" s="98"/>
      <c r="H161" s="93"/>
      <c r="I161" s="1091"/>
      <c r="J161" s="1084"/>
      <c r="K161" s="1084"/>
      <c r="L161" s="932"/>
    </row>
    <row r="162" spans="1:12" s="106" customFormat="1" ht="15.75" hidden="1" customHeight="1" outlineLevel="1">
      <c r="A162" s="932"/>
      <c r="B162" s="1087"/>
      <c r="C162" s="1096"/>
      <c r="D162" s="1092"/>
      <c r="E162" s="1092"/>
      <c r="F162" s="1094"/>
      <c r="G162" s="103"/>
      <c r="H162" s="101"/>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93"/>
      <c r="I163" s="1091"/>
      <c r="J163" s="1083"/>
      <c r="K163" s="1083"/>
      <c r="L163" s="932"/>
    </row>
    <row r="164" spans="1:12" s="106" customFormat="1" ht="15.75" hidden="1" customHeight="1" outlineLevel="1">
      <c r="A164" s="932"/>
      <c r="B164" s="1086"/>
      <c r="C164" s="1095"/>
      <c r="D164" s="1091"/>
      <c r="E164" s="1091"/>
      <c r="F164" s="1093"/>
      <c r="G164" s="98"/>
      <c r="H164" s="93"/>
      <c r="I164" s="1091"/>
      <c r="J164" s="1084"/>
      <c r="K164" s="1084"/>
      <c r="L164" s="932"/>
    </row>
    <row r="165" spans="1:12" s="106" customFormat="1" ht="15.75" hidden="1" customHeight="1" outlineLevel="1">
      <c r="A165" s="932"/>
      <c r="B165" s="1087"/>
      <c r="C165" s="1096"/>
      <c r="D165" s="1092"/>
      <c r="E165" s="1092"/>
      <c r="F165" s="1094"/>
      <c r="G165" s="103"/>
      <c r="H165" s="101"/>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93"/>
      <c r="I166" s="1091"/>
      <c r="J166" s="1083"/>
      <c r="K166" s="1083"/>
      <c r="L166" s="932"/>
    </row>
    <row r="167" spans="1:12" s="106" customFormat="1" ht="15.75" hidden="1" customHeight="1" outlineLevel="1">
      <c r="A167" s="932"/>
      <c r="B167" s="1086"/>
      <c r="C167" s="1095"/>
      <c r="D167" s="1091"/>
      <c r="E167" s="1091"/>
      <c r="F167" s="1093"/>
      <c r="G167" s="98"/>
      <c r="H167" s="93"/>
      <c r="I167" s="1091"/>
      <c r="J167" s="1084"/>
      <c r="K167" s="1084"/>
      <c r="L167" s="932"/>
    </row>
    <row r="168" spans="1:12" s="106" customFormat="1" ht="15.75" hidden="1" customHeight="1" outlineLevel="1">
      <c r="A168" s="932"/>
      <c r="B168" s="1087"/>
      <c r="C168" s="1096"/>
      <c r="D168" s="1092"/>
      <c r="E168" s="1092"/>
      <c r="F168" s="1094"/>
      <c r="G168" s="103"/>
      <c r="H168" s="101"/>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93"/>
      <c r="I169" s="1091"/>
      <c r="J169" s="1083"/>
      <c r="K169" s="1083"/>
      <c r="L169" s="932"/>
    </row>
    <row r="170" spans="1:12" s="106" customFormat="1" ht="15.75" hidden="1" customHeight="1" outlineLevel="1">
      <c r="A170" s="932"/>
      <c r="B170" s="1086"/>
      <c r="C170" s="1095"/>
      <c r="D170" s="1091"/>
      <c r="E170" s="1091"/>
      <c r="F170" s="1093"/>
      <c r="G170" s="98"/>
      <c r="H170" s="93"/>
      <c r="I170" s="1091"/>
      <c r="J170" s="1084"/>
      <c r="K170" s="1084"/>
      <c r="L170" s="932"/>
    </row>
    <row r="171" spans="1:12" s="106" customFormat="1" ht="15.75" hidden="1" customHeight="1" outlineLevel="1">
      <c r="A171" s="932"/>
      <c r="B171" s="1087"/>
      <c r="C171" s="1096"/>
      <c r="D171" s="1092"/>
      <c r="E171" s="1092"/>
      <c r="F171" s="1094"/>
      <c r="G171" s="103"/>
      <c r="H171" s="101"/>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93"/>
      <c r="I172" s="1091"/>
      <c r="J172" s="1083"/>
      <c r="K172" s="1083"/>
      <c r="L172" s="932"/>
    </row>
    <row r="173" spans="1:12" s="106" customFormat="1" ht="15.75" hidden="1" customHeight="1" outlineLevel="1">
      <c r="A173" s="932"/>
      <c r="B173" s="1086"/>
      <c r="C173" s="1095"/>
      <c r="D173" s="1091"/>
      <c r="E173" s="1091"/>
      <c r="F173" s="1093"/>
      <c r="G173" s="98"/>
      <c r="H173" s="93"/>
      <c r="I173" s="1091"/>
      <c r="J173" s="1084"/>
      <c r="K173" s="1084"/>
      <c r="L173" s="932"/>
    </row>
    <row r="174" spans="1:12" s="106" customFormat="1" ht="15.75" hidden="1" customHeight="1" outlineLevel="1">
      <c r="A174" s="932"/>
      <c r="B174" s="1087"/>
      <c r="C174" s="1096"/>
      <c r="D174" s="1092"/>
      <c r="E174" s="1092"/>
      <c r="F174" s="1094"/>
      <c r="G174" s="103"/>
      <c r="H174" s="101"/>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93"/>
      <c r="I175" s="1091"/>
      <c r="J175" s="1083"/>
      <c r="K175" s="1083"/>
      <c r="L175" s="932"/>
    </row>
    <row r="176" spans="1:12" s="106" customFormat="1" ht="15.75" hidden="1" customHeight="1" outlineLevel="1">
      <c r="A176" s="932"/>
      <c r="B176" s="1086"/>
      <c r="C176" s="1095"/>
      <c r="D176" s="1091"/>
      <c r="E176" s="1091"/>
      <c r="F176" s="1093"/>
      <c r="G176" s="98"/>
      <c r="H176" s="93"/>
      <c r="I176" s="1091"/>
      <c r="J176" s="1084"/>
      <c r="K176" s="1084"/>
      <c r="L176" s="932"/>
    </row>
    <row r="177" spans="1:12" s="106" customFormat="1" ht="15.75" hidden="1" customHeight="1" outlineLevel="1">
      <c r="A177" s="932"/>
      <c r="B177" s="1087"/>
      <c r="C177" s="1096"/>
      <c r="D177" s="1092"/>
      <c r="E177" s="1092"/>
      <c r="F177" s="1094"/>
      <c r="G177" s="103"/>
      <c r="H177" s="101"/>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93"/>
      <c r="I178" s="1091"/>
      <c r="J178" s="1083"/>
      <c r="K178" s="1083"/>
      <c r="L178" s="932"/>
    </row>
    <row r="179" spans="1:12" s="106" customFormat="1" ht="15.75" hidden="1" customHeight="1" outlineLevel="1">
      <c r="A179" s="932"/>
      <c r="B179" s="1086"/>
      <c r="C179" s="1095"/>
      <c r="D179" s="1091"/>
      <c r="E179" s="1091"/>
      <c r="F179" s="1093"/>
      <c r="G179" s="98"/>
      <c r="H179" s="93"/>
      <c r="I179" s="1091"/>
      <c r="J179" s="1084"/>
      <c r="K179" s="1084"/>
      <c r="L179" s="932"/>
    </row>
    <row r="180" spans="1:12" s="106" customFormat="1" ht="15.75" hidden="1" customHeight="1" outlineLevel="1">
      <c r="A180" s="932"/>
      <c r="B180" s="1087"/>
      <c r="C180" s="1096"/>
      <c r="D180" s="1092"/>
      <c r="E180" s="1092"/>
      <c r="F180" s="1094"/>
      <c r="G180" s="103"/>
      <c r="H180" s="101"/>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93"/>
      <c r="I181" s="1091"/>
      <c r="J181" s="1083"/>
      <c r="K181" s="1083"/>
      <c r="L181" s="932"/>
    </row>
    <row r="182" spans="1:12" s="106" customFormat="1" ht="15.75" hidden="1" customHeight="1" outlineLevel="1">
      <c r="A182" s="932"/>
      <c r="B182" s="1086"/>
      <c r="C182" s="1095"/>
      <c r="D182" s="1091"/>
      <c r="E182" s="1091"/>
      <c r="F182" s="1093"/>
      <c r="G182" s="98"/>
      <c r="H182" s="93"/>
      <c r="I182" s="1091"/>
      <c r="J182" s="1084"/>
      <c r="K182" s="1084"/>
      <c r="L182" s="932"/>
    </row>
    <row r="183" spans="1:12" s="106" customFormat="1" ht="15.75" hidden="1" customHeight="1" outlineLevel="1">
      <c r="A183" s="932"/>
      <c r="B183" s="1087"/>
      <c r="C183" s="1096"/>
      <c r="D183" s="1092"/>
      <c r="E183" s="1092"/>
      <c r="F183" s="1094"/>
      <c r="G183" s="103"/>
      <c r="H183" s="101"/>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93"/>
      <c r="I184" s="1091"/>
      <c r="J184" s="1083"/>
      <c r="K184" s="1083"/>
      <c r="L184" s="932"/>
    </row>
    <row r="185" spans="1:12" s="106" customFormat="1" ht="15.75" hidden="1" customHeight="1" outlineLevel="1">
      <c r="A185" s="932"/>
      <c r="B185" s="1086"/>
      <c r="C185" s="1095"/>
      <c r="D185" s="1091"/>
      <c r="E185" s="1091"/>
      <c r="F185" s="1093"/>
      <c r="G185" s="98"/>
      <c r="H185" s="93"/>
      <c r="I185" s="1091"/>
      <c r="J185" s="1084"/>
      <c r="K185" s="1084"/>
      <c r="L185" s="932"/>
    </row>
    <row r="186" spans="1:12" s="106" customFormat="1" ht="15.75" hidden="1" customHeight="1" outlineLevel="1">
      <c r="A186" s="932"/>
      <c r="B186" s="1087"/>
      <c r="C186" s="1096"/>
      <c r="D186" s="1092"/>
      <c r="E186" s="1092"/>
      <c r="F186" s="1094"/>
      <c r="G186" s="103"/>
      <c r="H186" s="101"/>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93"/>
      <c r="I187" s="1091"/>
      <c r="J187" s="1083"/>
      <c r="K187" s="1083"/>
      <c r="L187" s="932"/>
    </row>
    <row r="188" spans="1:12" s="106" customFormat="1" ht="15.75" hidden="1" customHeight="1" outlineLevel="1">
      <c r="A188" s="932"/>
      <c r="B188" s="1086"/>
      <c r="C188" s="1095"/>
      <c r="D188" s="1091"/>
      <c r="E188" s="1091"/>
      <c r="F188" s="1093"/>
      <c r="G188" s="98"/>
      <c r="H188" s="93"/>
      <c r="I188" s="1091"/>
      <c r="J188" s="1084"/>
      <c r="K188" s="1084"/>
      <c r="L188" s="932"/>
    </row>
    <row r="189" spans="1:12" s="106" customFormat="1" ht="15.75" hidden="1" customHeight="1" outlineLevel="1">
      <c r="A189" s="932"/>
      <c r="B189" s="1087"/>
      <c r="C189" s="1096"/>
      <c r="D189" s="1092"/>
      <c r="E189" s="1092"/>
      <c r="F189" s="1094"/>
      <c r="G189" s="103"/>
      <c r="H189" s="101"/>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93"/>
      <c r="I190" s="1091"/>
      <c r="J190" s="1083"/>
      <c r="K190" s="1083"/>
      <c r="L190" s="932"/>
    </row>
    <row r="191" spans="1:12" s="106" customFormat="1" ht="15.75" hidden="1" customHeight="1" outlineLevel="1">
      <c r="A191" s="932"/>
      <c r="B191" s="1086"/>
      <c r="C191" s="1095"/>
      <c r="D191" s="1091"/>
      <c r="E191" s="1091"/>
      <c r="F191" s="1093"/>
      <c r="G191" s="98"/>
      <c r="H191" s="93"/>
      <c r="I191" s="1091"/>
      <c r="J191" s="1084"/>
      <c r="K191" s="1084"/>
      <c r="L191" s="932"/>
    </row>
    <row r="192" spans="1:12" s="106" customFormat="1" ht="15.75" hidden="1" customHeight="1" outlineLevel="1">
      <c r="A192" s="932"/>
      <c r="B192" s="1087"/>
      <c r="C192" s="1096"/>
      <c r="D192" s="1092"/>
      <c r="E192" s="1092"/>
      <c r="F192" s="1094"/>
      <c r="G192" s="103"/>
      <c r="H192" s="101"/>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93"/>
      <c r="I193" s="1091"/>
      <c r="J193" s="1083"/>
      <c r="K193" s="1083"/>
      <c r="L193" s="932"/>
    </row>
    <row r="194" spans="1:12" s="106" customFormat="1" ht="15.75" hidden="1" customHeight="1" outlineLevel="1">
      <c r="A194" s="932"/>
      <c r="B194" s="1086"/>
      <c r="C194" s="1095"/>
      <c r="D194" s="1091"/>
      <c r="E194" s="1091"/>
      <c r="F194" s="1093"/>
      <c r="G194" s="98"/>
      <c r="H194" s="93"/>
      <c r="I194" s="1091"/>
      <c r="J194" s="1084"/>
      <c r="K194" s="1084"/>
      <c r="L194" s="932"/>
    </row>
    <row r="195" spans="1:12" s="106" customFormat="1" ht="15.75" hidden="1" customHeight="1" outlineLevel="1">
      <c r="A195" s="932"/>
      <c r="B195" s="1087"/>
      <c r="C195" s="1096"/>
      <c r="D195" s="1092"/>
      <c r="E195" s="1092"/>
      <c r="F195" s="1094"/>
      <c r="G195" s="103"/>
      <c r="H195" s="101"/>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93"/>
      <c r="I196" s="1091"/>
      <c r="J196" s="1083"/>
      <c r="K196" s="1083"/>
      <c r="L196" s="932"/>
    </row>
    <row r="197" spans="1:12" s="106" customFormat="1" ht="15.75" hidden="1" customHeight="1" outlineLevel="1">
      <c r="A197" s="932"/>
      <c r="B197" s="1086"/>
      <c r="C197" s="1095"/>
      <c r="D197" s="1091"/>
      <c r="E197" s="1091"/>
      <c r="F197" s="1093"/>
      <c r="G197" s="98"/>
      <c r="H197" s="93"/>
      <c r="I197" s="1091"/>
      <c r="J197" s="1084"/>
      <c r="K197" s="1084"/>
      <c r="L197" s="932"/>
    </row>
    <row r="198" spans="1:12" s="106" customFormat="1" ht="15.75" hidden="1" customHeight="1" outlineLevel="1">
      <c r="A198" s="932"/>
      <c r="B198" s="1087"/>
      <c r="C198" s="1096"/>
      <c r="D198" s="1092"/>
      <c r="E198" s="1092"/>
      <c r="F198" s="1094"/>
      <c r="G198" s="103"/>
      <c r="H198" s="101"/>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93"/>
      <c r="I199" s="1091"/>
      <c r="J199" s="1083"/>
      <c r="K199" s="1083"/>
      <c r="L199" s="932"/>
    </row>
    <row r="200" spans="1:12" s="106" customFormat="1" ht="15.75" hidden="1" customHeight="1" outlineLevel="1">
      <c r="A200" s="932"/>
      <c r="B200" s="1086"/>
      <c r="C200" s="1095"/>
      <c r="D200" s="1091"/>
      <c r="E200" s="1091"/>
      <c r="F200" s="1093"/>
      <c r="G200" s="98"/>
      <c r="H200" s="93"/>
      <c r="I200" s="1091"/>
      <c r="J200" s="1084"/>
      <c r="K200" s="1084"/>
      <c r="L200" s="932"/>
    </row>
    <row r="201" spans="1:12" s="106" customFormat="1" ht="15.75" hidden="1" customHeight="1" outlineLevel="1">
      <c r="A201" s="932"/>
      <c r="B201" s="1087"/>
      <c r="C201" s="1096"/>
      <c r="D201" s="1092"/>
      <c r="E201" s="1092"/>
      <c r="F201" s="1094"/>
      <c r="G201" s="103"/>
      <c r="H201" s="101"/>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93"/>
      <c r="I202" s="1091"/>
      <c r="J202" s="1083"/>
      <c r="K202" s="1083"/>
      <c r="L202" s="932"/>
    </row>
    <row r="203" spans="1:12" s="106" customFormat="1" ht="15.75" hidden="1" customHeight="1" outlineLevel="1">
      <c r="A203" s="932"/>
      <c r="B203" s="1086"/>
      <c r="C203" s="1095"/>
      <c r="D203" s="1091"/>
      <c r="E203" s="1091"/>
      <c r="F203" s="1093"/>
      <c r="G203" s="98"/>
      <c r="H203" s="93"/>
      <c r="I203" s="1091"/>
      <c r="J203" s="1084"/>
      <c r="K203" s="1084"/>
      <c r="L203" s="932"/>
    </row>
    <row r="204" spans="1:12" s="106" customFormat="1" ht="15.75" hidden="1" customHeight="1" outlineLevel="1">
      <c r="A204" s="932"/>
      <c r="B204" s="1087"/>
      <c r="C204" s="1096"/>
      <c r="D204" s="1092"/>
      <c r="E204" s="1092"/>
      <c r="F204" s="1094"/>
      <c r="G204" s="103"/>
      <c r="H204" s="101"/>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93"/>
      <c r="I205" s="1091"/>
      <c r="J205" s="1083"/>
      <c r="K205" s="1083"/>
      <c r="L205" s="932"/>
    </row>
    <row r="206" spans="1:12" s="106" customFormat="1" ht="15.75" hidden="1" customHeight="1" outlineLevel="1">
      <c r="A206" s="932"/>
      <c r="B206" s="1086"/>
      <c r="C206" s="1095"/>
      <c r="D206" s="1091"/>
      <c r="E206" s="1091"/>
      <c r="F206" s="1093"/>
      <c r="G206" s="98"/>
      <c r="H206" s="93"/>
      <c r="I206" s="1091"/>
      <c r="J206" s="1084"/>
      <c r="K206" s="1084"/>
      <c r="L206" s="932"/>
    </row>
    <row r="207" spans="1:12" s="106" customFormat="1" ht="15.75" hidden="1" customHeight="1" outlineLevel="1">
      <c r="A207" s="932"/>
      <c r="B207" s="1087"/>
      <c r="C207" s="1096"/>
      <c r="D207" s="1092"/>
      <c r="E207" s="1092"/>
      <c r="F207" s="1094"/>
      <c r="G207" s="103"/>
      <c r="H207" s="101"/>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93"/>
      <c r="I208" s="1091"/>
      <c r="J208" s="1083"/>
      <c r="K208" s="1083"/>
      <c r="L208" s="932"/>
    </row>
    <row r="209" spans="1:12" s="106" customFormat="1" ht="15.75" hidden="1" customHeight="1" outlineLevel="1">
      <c r="A209" s="932"/>
      <c r="B209" s="1086"/>
      <c r="C209" s="1095"/>
      <c r="D209" s="1091"/>
      <c r="E209" s="1091"/>
      <c r="F209" s="1093"/>
      <c r="G209" s="98"/>
      <c r="H209" s="93"/>
      <c r="I209" s="1091"/>
      <c r="J209" s="1084"/>
      <c r="K209" s="1084"/>
      <c r="L209" s="932"/>
    </row>
    <row r="210" spans="1:12" s="106" customFormat="1" ht="15.75" hidden="1" customHeight="1" outlineLevel="1">
      <c r="A210" s="932"/>
      <c r="B210" s="1087"/>
      <c r="C210" s="1096"/>
      <c r="D210" s="1092"/>
      <c r="E210" s="1092"/>
      <c r="F210" s="1094"/>
      <c r="G210" s="103"/>
      <c r="H210" s="101"/>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93"/>
      <c r="I211" s="1091"/>
      <c r="J211" s="1083"/>
      <c r="K211" s="1083"/>
      <c r="L211" s="932"/>
    </row>
    <row r="212" spans="1:12" s="106" customFormat="1" ht="15.75" hidden="1" customHeight="1" outlineLevel="1">
      <c r="A212" s="932"/>
      <c r="B212" s="1086"/>
      <c r="C212" s="1095"/>
      <c r="D212" s="1091"/>
      <c r="E212" s="1091"/>
      <c r="F212" s="1093"/>
      <c r="G212" s="98"/>
      <c r="H212" s="93"/>
      <c r="I212" s="1091"/>
      <c r="J212" s="1084"/>
      <c r="K212" s="1084"/>
      <c r="L212" s="932"/>
    </row>
    <row r="213" spans="1:12" s="106" customFormat="1" ht="15.75" hidden="1" customHeight="1" outlineLevel="1">
      <c r="A213" s="932"/>
      <c r="B213" s="1087"/>
      <c r="C213" s="1096"/>
      <c r="D213" s="1092"/>
      <c r="E213" s="1092"/>
      <c r="F213" s="1094"/>
      <c r="G213" s="103"/>
      <c r="H213" s="101"/>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93"/>
      <c r="I214" s="1091"/>
      <c r="J214" s="1083"/>
      <c r="K214" s="1083"/>
      <c r="L214" s="932"/>
    </row>
    <row r="215" spans="1:12" s="106" customFormat="1" ht="15.75" hidden="1" customHeight="1" outlineLevel="1">
      <c r="A215" s="932"/>
      <c r="B215" s="1086"/>
      <c r="C215" s="1095"/>
      <c r="D215" s="1091"/>
      <c r="E215" s="1091"/>
      <c r="F215" s="1093"/>
      <c r="G215" s="98"/>
      <c r="H215" s="93"/>
      <c r="I215" s="1091"/>
      <c r="J215" s="1084"/>
      <c r="K215" s="1084"/>
      <c r="L215" s="932"/>
    </row>
    <row r="216" spans="1:12" s="106" customFormat="1" ht="15.75" hidden="1" customHeight="1" outlineLevel="1">
      <c r="A216" s="932"/>
      <c r="B216" s="1087"/>
      <c r="C216" s="1096"/>
      <c r="D216" s="1092"/>
      <c r="E216" s="1092"/>
      <c r="F216" s="1094"/>
      <c r="G216" s="103"/>
      <c r="H216" s="101"/>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93"/>
      <c r="I217" s="1091"/>
      <c r="J217" s="1083"/>
      <c r="K217" s="1083"/>
      <c r="L217" s="932"/>
    </row>
    <row r="218" spans="1:12" s="106" customFormat="1" ht="15.75" hidden="1" customHeight="1" outlineLevel="1">
      <c r="A218" s="932"/>
      <c r="B218" s="1086"/>
      <c r="C218" s="1095"/>
      <c r="D218" s="1091"/>
      <c r="E218" s="1091"/>
      <c r="F218" s="1093"/>
      <c r="G218" s="98"/>
      <c r="H218" s="93"/>
      <c r="I218" s="1091"/>
      <c r="J218" s="1084"/>
      <c r="K218" s="1084"/>
      <c r="L218" s="932"/>
    </row>
    <row r="219" spans="1:12" s="106" customFormat="1" ht="15.75" hidden="1" customHeight="1" outlineLevel="1">
      <c r="A219" s="932"/>
      <c r="B219" s="1087"/>
      <c r="C219" s="1096"/>
      <c r="D219" s="1092"/>
      <c r="E219" s="1092"/>
      <c r="F219" s="1094"/>
      <c r="G219" s="103"/>
      <c r="H219" s="101"/>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93"/>
      <c r="I220" s="1091"/>
      <c r="J220" s="1083"/>
      <c r="K220" s="1083"/>
      <c r="L220" s="932"/>
    </row>
    <row r="221" spans="1:12" s="106" customFormat="1" ht="15.75" hidden="1" customHeight="1" outlineLevel="1">
      <c r="A221" s="932"/>
      <c r="B221" s="1086"/>
      <c r="C221" s="1095"/>
      <c r="D221" s="1091"/>
      <c r="E221" s="1091"/>
      <c r="F221" s="1093"/>
      <c r="G221" s="98"/>
      <c r="H221" s="93"/>
      <c r="I221" s="1091"/>
      <c r="J221" s="1084"/>
      <c r="K221" s="1084"/>
      <c r="L221" s="932"/>
    </row>
    <row r="222" spans="1:12" s="106" customFormat="1" ht="15.75" hidden="1" customHeight="1" outlineLevel="1">
      <c r="A222" s="932"/>
      <c r="B222" s="1087"/>
      <c r="C222" s="1096"/>
      <c r="D222" s="1092"/>
      <c r="E222" s="1092"/>
      <c r="F222" s="1094"/>
      <c r="G222" s="103"/>
      <c r="H222" s="101"/>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93"/>
      <c r="I223" s="1091"/>
      <c r="J223" s="1083"/>
      <c r="K223" s="1083"/>
      <c r="L223" s="932"/>
    </row>
    <row r="224" spans="1:12" s="106" customFormat="1" ht="15.75" hidden="1" customHeight="1" outlineLevel="1">
      <c r="A224" s="932"/>
      <c r="B224" s="1086"/>
      <c r="C224" s="1095"/>
      <c r="D224" s="1091"/>
      <c r="E224" s="1091"/>
      <c r="F224" s="1093"/>
      <c r="G224" s="98"/>
      <c r="H224" s="93"/>
      <c r="I224" s="1091"/>
      <c r="J224" s="1084"/>
      <c r="K224" s="1084"/>
      <c r="L224" s="932"/>
    </row>
    <row r="225" spans="1:12" s="106" customFormat="1" ht="15.75" hidden="1" customHeight="1" outlineLevel="1">
      <c r="A225" s="932"/>
      <c r="B225" s="1087"/>
      <c r="C225" s="1096"/>
      <c r="D225" s="1092"/>
      <c r="E225" s="1092"/>
      <c r="F225" s="1094"/>
      <c r="G225" s="103"/>
      <c r="H225" s="101"/>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93"/>
      <c r="I226" s="1091"/>
      <c r="J226" s="1083"/>
      <c r="K226" s="1083"/>
      <c r="L226" s="932"/>
    </row>
    <row r="227" spans="1:12" s="106" customFormat="1" ht="15.75" hidden="1" customHeight="1" outlineLevel="1">
      <c r="A227" s="932"/>
      <c r="B227" s="1086"/>
      <c r="C227" s="1095"/>
      <c r="D227" s="1091"/>
      <c r="E227" s="1091"/>
      <c r="F227" s="1093"/>
      <c r="G227" s="98"/>
      <c r="H227" s="93"/>
      <c r="I227" s="1091"/>
      <c r="J227" s="1084"/>
      <c r="K227" s="1084"/>
      <c r="L227" s="932"/>
    </row>
    <row r="228" spans="1:12" s="106" customFormat="1" ht="15.75" hidden="1" customHeight="1" outlineLevel="1">
      <c r="A228" s="932"/>
      <c r="B228" s="1087"/>
      <c r="C228" s="1096"/>
      <c r="D228" s="1092"/>
      <c r="E228" s="1092"/>
      <c r="F228" s="1094"/>
      <c r="G228" s="103"/>
      <c r="H228" s="101"/>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93"/>
      <c r="I229" s="1091"/>
      <c r="J229" s="1083"/>
      <c r="K229" s="1083"/>
      <c r="L229" s="932"/>
    </row>
    <row r="230" spans="1:12" s="106" customFormat="1" ht="15.75" hidden="1" customHeight="1" outlineLevel="1">
      <c r="A230" s="932"/>
      <c r="B230" s="1086"/>
      <c r="C230" s="1095"/>
      <c r="D230" s="1091"/>
      <c r="E230" s="1091"/>
      <c r="F230" s="1093"/>
      <c r="G230" s="98"/>
      <c r="H230" s="93"/>
      <c r="I230" s="1091"/>
      <c r="J230" s="1084"/>
      <c r="K230" s="1084"/>
      <c r="L230" s="932"/>
    </row>
    <row r="231" spans="1:12" s="106" customFormat="1" ht="15.75" hidden="1" customHeight="1" outlineLevel="1">
      <c r="A231" s="932"/>
      <c r="B231" s="1087"/>
      <c r="C231" s="1096"/>
      <c r="D231" s="1092"/>
      <c r="E231" s="1092"/>
      <c r="F231" s="1094"/>
      <c r="G231" s="103"/>
      <c r="H231" s="101"/>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93"/>
      <c r="I232" s="1091"/>
      <c r="J232" s="1083"/>
      <c r="K232" s="1083"/>
      <c r="L232" s="932"/>
    </row>
    <row r="233" spans="1:12" s="106" customFormat="1" ht="15.75" hidden="1" customHeight="1" outlineLevel="1">
      <c r="A233" s="932"/>
      <c r="B233" s="1086"/>
      <c r="C233" s="1095"/>
      <c r="D233" s="1091"/>
      <c r="E233" s="1091"/>
      <c r="F233" s="1093"/>
      <c r="G233" s="98"/>
      <c r="H233" s="93"/>
      <c r="I233" s="1091"/>
      <c r="J233" s="1084"/>
      <c r="K233" s="1084"/>
      <c r="L233" s="932"/>
    </row>
    <row r="234" spans="1:12" s="106" customFormat="1" ht="15.75" hidden="1" customHeight="1" outlineLevel="1">
      <c r="A234" s="932"/>
      <c r="B234" s="1087"/>
      <c r="C234" s="1096"/>
      <c r="D234" s="1092"/>
      <c r="E234" s="1092"/>
      <c r="F234" s="1094"/>
      <c r="G234" s="103"/>
      <c r="H234" s="101"/>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93"/>
      <c r="I235" s="1091"/>
      <c r="J235" s="1083"/>
      <c r="K235" s="1083"/>
      <c r="L235" s="932"/>
    </row>
    <row r="236" spans="1:12" s="106" customFormat="1" ht="15.75" hidden="1" customHeight="1" outlineLevel="1">
      <c r="A236" s="932"/>
      <c r="B236" s="1086"/>
      <c r="C236" s="1095"/>
      <c r="D236" s="1091"/>
      <c r="E236" s="1091"/>
      <c r="F236" s="1093"/>
      <c r="G236" s="98"/>
      <c r="H236" s="93"/>
      <c r="I236" s="1091"/>
      <c r="J236" s="1084"/>
      <c r="K236" s="1084"/>
      <c r="L236" s="932"/>
    </row>
    <row r="237" spans="1:12" s="106" customFormat="1" ht="15.75" hidden="1" customHeight="1" outlineLevel="1">
      <c r="A237" s="932"/>
      <c r="B237" s="1087"/>
      <c r="C237" s="1096"/>
      <c r="D237" s="1092"/>
      <c r="E237" s="1092"/>
      <c r="F237" s="1094"/>
      <c r="G237" s="103"/>
      <c r="H237" s="101"/>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93"/>
      <c r="I238" s="1091"/>
      <c r="J238" s="1083"/>
      <c r="K238" s="1083"/>
      <c r="L238" s="932"/>
    </row>
    <row r="239" spans="1:12" s="106" customFormat="1" ht="15.75" hidden="1" customHeight="1" outlineLevel="1">
      <c r="A239" s="932"/>
      <c r="B239" s="1086"/>
      <c r="C239" s="1095"/>
      <c r="D239" s="1091"/>
      <c r="E239" s="1091"/>
      <c r="F239" s="1093"/>
      <c r="G239" s="98"/>
      <c r="H239" s="93"/>
      <c r="I239" s="1091"/>
      <c r="J239" s="1084"/>
      <c r="K239" s="1084"/>
      <c r="L239" s="932"/>
    </row>
    <row r="240" spans="1:12" s="106" customFormat="1" ht="15.75" hidden="1" customHeight="1" outlineLevel="1">
      <c r="A240" s="932"/>
      <c r="B240" s="1087"/>
      <c r="C240" s="1096"/>
      <c r="D240" s="1092"/>
      <c r="E240" s="1092"/>
      <c r="F240" s="1094"/>
      <c r="G240" s="103"/>
      <c r="H240" s="101"/>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93"/>
      <c r="I241" s="1091"/>
      <c r="J241" s="1083"/>
      <c r="K241" s="1083"/>
      <c r="L241" s="932"/>
    </row>
    <row r="242" spans="1:12" s="106" customFormat="1" ht="15.75" hidden="1" customHeight="1" outlineLevel="1">
      <c r="A242" s="932"/>
      <c r="B242" s="1086"/>
      <c r="C242" s="1095"/>
      <c r="D242" s="1091"/>
      <c r="E242" s="1091"/>
      <c r="F242" s="1093"/>
      <c r="G242" s="98"/>
      <c r="H242" s="93"/>
      <c r="I242" s="1091"/>
      <c r="J242" s="1084"/>
      <c r="K242" s="1084"/>
      <c r="L242" s="932"/>
    </row>
    <row r="243" spans="1:12" s="106" customFormat="1" ht="15.75" hidden="1" customHeight="1" outlineLevel="1">
      <c r="A243" s="932"/>
      <c r="B243" s="1087"/>
      <c r="C243" s="1096"/>
      <c r="D243" s="1092"/>
      <c r="E243" s="1092"/>
      <c r="F243" s="1094"/>
      <c r="G243" s="103"/>
      <c r="H243" s="101"/>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93"/>
      <c r="I244" s="1091"/>
      <c r="J244" s="1083"/>
      <c r="K244" s="1083"/>
      <c r="L244" s="932"/>
    </row>
    <row r="245" spans="1:12" s="106" customFormat="1" ht="15.75" hidden="1" customHeight="1" outlineLevel="1">
      <c r="A245" s="932"/>
      <c r="B245" s="1086"/>
      <c r="C245" s="1095"/>
      <c r="D245" s="1091"/>
      <c r="E245" s="1091"/>
      <c r="F245" s="1093"/>
      <c r="G245" s="98"/>
      <c r="H245" s="93"/>
      <c r="I245" s="1091"/>
      <c r="J245" s="1084"/>
      <c r="K245" s="1084"/>
      <c r="L245" s="932"/>
    </row>
    <row r="246" spans="1:12" s="106" customFormat="1" ht="15.75" hidden="1" customHeight="1" outlineLevel="1">
      <c r="A246" s="932"/>
      <c r="B246" s="1087"/>
      <c r="C246" s="1096"/>
      <c r="D246" s="1092"/>
      <c r="E246" s="1092"/>
      <c r="F246" s="1094"/>
      <c r="G246" s="103"/>
      <c r="H246" s="101"/>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93"/>
      <c r="I247" s="1091"/>
      <c r="J247" s="1083"/>
      <c r="K247" s="1083"/>
      <c r="L247" s="932"/>
    </row>
    <row r="248" spans="1:12" s="106" customFormat="1" ht="15.75" hidden="1" customHeight="1" outlineLevel="1">
      <c r="A248" s="932"/>
      <c r="B248" s="1086"/>
      <c r="C248" s="1095"/>
      <c r="D248" s="1091"/>
      <c r="E248" s="1091"/>
      <c r="F248" s="1093"/>
      <c r="G248" s="98"/>
      <c r="H248" s="93"/>
      <c r="I248" s="1091"/>
      <c r="J248" s="1084"/>
      <c r="K248" s="1084"/>
      <c r="L248" s="932"/>
    </row>
    <row r="249" spans="1:12" s="106" customFormat="1" ht="15.75" hidden="1" customHeight="1" outlineLevel="1">
      <c r="A249" s="932"/>
      <c r="B249" s="1087"/>
      <c r="C249" s="1096"/>
      <c r="D249" s="1092"/>
      <c r="E249" s="1092"/>
      <c r="F249" s="1094"/>
      <c r="G249" s="103"/>
      <c r="H249" s="101"/>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93"/>
      <c r="I250" s="1091"/>
      <c r="J250" s="1083"/>
      <c r="K250" s="1083"/>
      <c r="L250" s="932"/>
    </row>
    <row r="251" spans="1:12" s="106" customFormat="1" ht="15.75" hidden="1" customHeight="1" outlineLevel="1">
      <c r="A251" s="932"/>
      <c r="B251" s="1086"/>
      <c r="C251" s="1095"/>
      <c r="D251" s="1091"/>
      <c r="E251" s="1091"/>
      <c r="F251" s="1093"/>
      <c r="G251" s="98"/>
      <c r="H251" s="93"/>
      <c r="I251" s="1091"/>
      <c r="J251" s="1084"/>
      <c r="K251" s="1084"/>
      <c r="L251" s="932"/>
    </row>
    <row r="252" spans="1:12" s="106" customFormat="1" ht="15.75" hidden="1" customHeight="1" outlineLevel="1">
      <c r="A252" s="932"/>
      <c r="B252" s="1087"/>
      <c r="C252" s="1096"/>
      <c r="D252" s="1092"/>
      <c r="E252" s="1092"/>
      <c r="F252" s="1094"/>
      <c r="G252" s="103"/>
      <c r="H252" s="101"/>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93"/>
      <c r="I253" s="1091"/>
      <c r="J253" s="1083"/>
      <c r="K253" s="1083"/>
      <c r="L253" s="932"/>
    </row>
    <row r="254" spans="1:12" s="106" customFormat="1" ht="15.75" hidden="1" customHeight="1" outlineLevel="1">
      <c r="A254" s="932"/>
      <c r="B254" s="1086"/>
      <c r="C254" s="1095"/>
      <c r="D254" s="1091"/>
      <c r="E254" s="1091"/>
      <c r="F254" s="1093"/>
      <c r="G254" s="98"/>
      <c r="H254" s="93"/>
      <c r="I254" s="1091"/>
      <c r="J254" s="1084"/>
      <c r="K254" s="1084"/>
      <c r="L254" s="932"/>
    </row>
    <row r="255" spans="1:12" s="106" customFormat="1" ht="15.75" hidden="1" customHeight="1" outlineLevel="1">
      <c r="A255" s="932"/>
      <c r="B255" s="1087"/>
      <c r="C255" s="1096"/>
      <c r="D255" s="1092"/>
      <c r="E255" s="1092"/>
      <c r="F255" s="1094"/>
      <c r="G255" s="103"/>
      <c r="H255" s="101"/>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93"/>
      <c r="I256" s="1091"/>
      <c r="J256" s="1083"/>
      <c r="K256" s="1083"/>
      <c r="L256" s="932"/>
    </row>
    <row r="257" spans="1:12" s="106" customFormat="1" ht="15.75" hidden="1" customHeight="1" outlineLevel="1">
      <c r="A257" s="932"/>
      <c r="B257" s="1086"/>
      <c r="C257" s="1095"/>
      <c r="D257" s="1091"/>
      <c r="E257" s="1091"/>
      <c r="F257" s="1093"/>
      <c r="G257" s="98"/>
      <c r="H257" s="93"/>
      <c r="I257" s="1091"/>
      <c r="J257" s="1084"/>
      <c r="K257" s="1084"/>
      <c r="L257" s="932"/>
    </row>
    <row r="258" spans="1:12" s="106" customFormat="1" ht="15.75" hidden="1" customHeight="1" outlineLevel="1">
      <c r="A258" s="932"/>
      <c r="B258" s="1087"/>
      <c r="C258" s="1096"/>
      <c r="D258" s="1092"/>
      <c r="E258" s="1092"/>
      <c r="F258" s="1094"/>
      <c r="G258" s="103"/>
      <c r="H258" s="101"/>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93"/>
      <c r="I259" s="1091"/>
      <c r="J259" s="1083"/>
      <c r="K259" s="1083"/>
      <c r="L259" s="932"/>
    </row>
    <row r="260" spans="1:12" s="106" customFormat="1" ht="15.75" hidden="1" customHeight="1" outlineLevel="1">
      <c r="A260" s="932"/>
      <c r="B260" s="1086"/>
      <c r="C260" s="1095"/>
      <c r="D260" s="1091"/>
      <c r="E260" s="1091"/>
      <c r="F260" s="1093"/>
      <c r="G260" s="98"/>
      <c r="H260" s="93"/>
      <c r="I260" s="1091"/>
      <c r="J260" s="1084"/>
      <c r="K260" s="1084"/>
      <c r="L260" s="932"/>
    </row>
    <row r="261" spans="1:12" s="106" customFormat="1" ht="15.75" hidden="1" customHeight="1" outlineLevel="1">
      <c r="A261" s="932"/>
      <c r="B261" s="1087"/>
      <c r="C261" s="1096"/>
      <c r="D261" s="1092"/>
      <c r="E261" s="1092"/>
      <c r="F261" s="1094"/>
      <c r="G261" s="103"/>
      <c r="H261" s="101"/>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93"/>
      <c r="I262" s="1091"/>
      <c r="J262" s="1083"/>
      <c r="K262" s="1083"/>
      <c r="L262" s="932"/>
    </row>
    <row r="263" spans="1:12" s="106" customFormat="1" ht="15.75" hidden="1" customHeight="1" outlineLevel="1">
      <c r="A263" s="932"/>
      <c r="B263" s="1086"/>
      <c r="C263" s="1095"/>
      <c r="D263" s="1091"/>
      <c r="E263" s="1091"/>
      <c r="F263" s="1093"/>
      <c r="G263" s="98"/>
      <c r="H263" s="93"/>
      <c r="I263" s="1091"/>
      <c r="J263" s="1084"/>
      <c r="K263" s="1084"/>
      <c r="L263" s="932"/>
    </row>
    <row r="264" spans="1:12" s="106" customFormat="1" ht="15.75" hidden="1" customHeight="1" outlineLevel="1">
      <c r="A264" s="932"/>
      <c r="B264" s="1087"/>
      <c r="C264" s="1096"/>
      <c r="D264" s="1092"/>
      <c r="E264" s="1092"/>
      <c r="F264" s="1094"/>
      <c r="G264" s="103"/>
      <c r="H264" s="101"/>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93"/>
      <c r="I265" s="1091"/>
      <c r="J265" s="1083"/>
      <c r="K265" s="1083"/>
      <c r="L265" s="932"/>
    </row>
    <row r="266" spans="1:12" s="106" customFormat="1" ht="15.75" hidden="1" customHeight="1" outlineLevel="1">
      <c r="A266" s="932"/>
      <c r="B266" s="1086"/>
      <c r="C266" s="1095"/>
      <c r="D266" s="1091"/>
      <c r="E266" s="1091"/>
      <c r="F266" s="1093"/>
      <c r="G266" s="98"/>
      <c r="H266" s="93"/>
      <c r="I266" s="1091"/>
      <c r="J266" s="1084"/>
      <c r="K266" s="1084"/>
      <c r="L266" s="932"/>
    </row>
    <row r="267" spans="1:12" s="106" customFormat="1" ht="15.75" hidden="1" customHeight="1" outlineLevel="1">
      <c r="A267" s="932"/>
      <c r="B267" s="1087"/>
      <c r="C267" s="1096"/>
      <c r="D267" s="1092"/>
      <c r="E267" s="1092"/>
      <c r="F267" s="1094"/>
      <c r="G267" s="103"/>
      <c r="H267" s="101"/>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93"/>
      <c r="I268" s="1091"/>
      <c r="J268" s="1083"/>
      <c r="K268" s="1083"/>
      <c r="L268" s="932"/>
    </row>
    <row r="269" spans="1:12" s="106" customFormat="1" ht="15.75" hidden="1" customHeight="1" outlineLevel="1">
      <c r="A269" s="932"/>
      <c r="B269" s="1086"/>
      <c r="C269" s="1095"/>
      <c r="D269" s="1091"/>
      <c r="E269" s="1091"/>
      <c r="F269" s="1093"/>
      <c r="G269" s="98"/>
      <c r="H269" s="93"/>
      <c r="I269" s="1091"/>
      <c r="J269" s="1084"/>
      <c r="K269" s="1084"/>
      <c r="L269" s="932"/>
    </row>
    <row r="270" spans="1:12" s="106" customFormat="1" ht="15.75" hidden="1" customHeight="1" outlineLevel="1">
      <c r="A270" s="932"/>
      <c r="B270" s="1087"/>
      <c r="C270" s="1096"/>
      <c r="D270" s="1092"/>
      <c r="E270" s="1092"/>
      <c r="F270" s="1094"/>
      <c r="G270" s="103"/>
      <c r="H270" s="101"/>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93"/>
      <c r="I271" s="1091"/>
      <c r="J271" s="1083"/>
      <c r="K271" s="1083"/>
      <c r="L271" s="932"/>
    </row>
    <row r="272" spans="1:12" s="106" customFormat="1" ht="15.75" hidden="1" customHeight="1" outlineLevel="1">
      <c r="A272" s="932"/>
      <c r="B272" s="1086"/>
      <c r="C272" s="1095"/>
      <c r="D272" s="1091"/>
      <c r="E272" s="1091"/>
      <c r="F272" s="1093"/>
      <c r="G272" s="98"/>
      <c r="H272" s="93"/>
      <c r="I272" s="1091"/>
      <c r="J272" s="1084"/>
      <c r="K272" s="1084"/>
      <c r="L272" s="932"/>
    </row>
    <row r="273" spans="1:12" s="106" customFormat="1" ht="15.75" hidden="1" customHeight="1" outlineLevel="1">
      <c r="A273" s="932"/>
      <c r="B273" s="1087"/>
      <c r="C273" s="1096"/>
      <c r="D273" s="1092"/>
      <c r="E273" s="1092"/>
      <c r="F273" s="1094"/>
      <c r="G273" s="103"/>
      <c r="H273" s="101"/>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93"/>
      <c r="I274" s="1091"/>
      <c r="J274" s="1083"/>
      <c r="K274" s="1083"/>
      <c r="L274" s="932"/>
    </row>
    <row r="275" spans="1:12" s="106" customFormat="1" ht="15.75" hidden="1" customHeight="1" outlineLevel="1">
      <c r="A275" s="932"/>
      <c r="B275" s="1086"/>
      <c r="C275" s="1095"/>
      <c r="D275" s="1091"/>
      <c r="E275" s="1091"/>
      <c r="F275" s="1093"/>
      <c r="G275" s="98"/>
      <c r="H275" s="93"/>
      <c r="I275" s="1091"/>
      <c r="J275" s="1084"/>
      <c r="K275" s="1084"/>
      <c r="L275" s="932"/>
    </row>
    <row r="276" spans="1:12" s="106" customFormat="1" ht="15.75" hidden="1" customHeight="1" outlineLevel="1">
      <c r="A276" s="932"/>
      <c r="B276" s="1087"/>
      <c r="C276" s="1096"/>
      <c r="D276" s="1092"/>
      <c r="E276" s="1092"/>
      <c r="F276" s="1094"/>
      <c r="G276" s="103"/>
      <c r="H276" s="101"/>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93"/>
      <c r="I277" s="1091"/>
      <c r="J277" s="1083"/>
      <c r="K277" s="1083"/>
      <c r="L277" s="932"/>
    </row>
    <row r="278" spans="1:12" s="106" customFormat="1" ht="15.75" hidden="1" customHeight="1" outlineLevel="1">
      <c r="A278" s="932"/>
      <c r="B278" s="1086"/>
      <c r="C278" s="1095"/>
      <c r="D278" s="1091"/>
      <c r="E278" s="1091"/>
      <c r="F278" s="1093"/>
      <c r="G278" s="98"/>
      <c r="H278" s="93"/>
      <c r="I278" s="1091"/>
      <c r="J278" s="1084"/>
      <c r="K278" s="1084"/>
      <c r="L278" s="932"/>
    </row>
    <row r="279" spans="1:12" s="106" customFormat="1" ht="15.75" hidden="1" customHeight="1" outlineLevel="1">
      <c r="A279" s="932"/>
      <c r="B279" s="1087"/>
      <c r="C279" s="1096"/>
      <c r="D279" s="1092"/>
      <c r="E279" s="1092"/>
      <c r="F279" s="1094"/>
      <c r="G279" s="103"/>
      <c r="H279" s="101"/>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93"/>
      <c r="I280" s="1091"/>
      <c r="J280" s="1083"/>
      <c r="K280" s="1083"/>
      <c r="L280" s="932"/>
    </row>
    <row r="281" spans="1:12" s="106" customFormat="1" ht="15.75" hidden="1" customHeight="1" outlineLevel="1">
      <c r="A281" s="932"/>
      <c r="B281" s="1086"/>
      <c r="C281" s="1095"/>
      <c r="D281" s="1091"/>
      <c r="E281" s="1091"/>
      <c r="F281" s="1093"/>
      <c r="G281" s="98"/>
      <c r="H281" s="93"/>
      <c r="I281" s="1091"/>
      <c r="J281" s="1084"/>
      <c r="K281" s="1084"/>
      <c r="L281" s="932"/>
    </row>
    <row r="282" spans="1:12" s="106" customFormat="1" ht="15.75" hidden="1" customHeight="1" outlineLevel="1">
      <c r="A282" s="932"/>
      <c r="B282" s="1087"/>
      <c r="C282" s="1096"/>
      <c r="D282" s="1092"/>
      <c r="E282" s="1092"/>
      <c r="F282" s="1094"/>
      <c r="G282" s="103"/>
      <c r="H282" s="101"/>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93"/>
      <c r="I283" s="1091"/>
      <c r="J283" s="1083"/>
      <c r="K283" s="1083"/>
      <c r="L283" s="932"/>
    </row>
    <row r="284" spans="1:12" s="106" customFormat="1" ht="15.75" hidden="1" customHeight="1" outlineLevel="1">
      <c r="A284" s="932"/>
      <c r="B284" s="1086"/>
      <c r="C284" s="1095"/>
      <c r="D284" s="1091"/>
      <c r="E284" s="1091"/>
      <c r="F284" s="1093"/>
      <c r="G284" s="98"/>
      <c r="H284" s="93"/>
      <c r="I284" s="1091"/>
      <c r="J284" s="1084"/>
      <c r="K284" s="1084"/>
      <c r="L284" s="932"/>
    </row>
    <row r="285" spans="1:12" s="106" customFormat="1" ht="15.75" hidden="1" customHeight="1" outlineLevel="1">
      <c r="A285" s="932"/>
      <c r="B285" s="1087"/>
      <c r="C285" s="1096"/>
      <c r="D285" s="1092"/>
      <c r="E285" s="1092"/>
      <c r="F285" s="1094"/>
      <c r="G285" s="103"/>
      <c r="H285" s="101"/>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93"/>
      <c r="I286" s="1091"/>
      <c r="J286" s="1083"/>
      <c r="K286" s="1083"/>
      <c r="L286" s="932"/>
    </row>
    <row r="287" spans="1:12" s="106" customFormat="1" ht="15.75" hidden="1" customHeight="1" outlineLevel="1">
      <c r="A287" s="932"/>
      <c r="B287" s="1086"/>
      <c r="C287" s="1095"/>
      <c r="D287" s="1091"/>
      <c r="E287" s="1091"/>
      <c r="F287" s="1093"/>
      <c r="G287" s="98"/>
      <c r="H287" s="93"/>
      <c r="I287" s="1091"/>
      <c r="J287" s="1084"/>
      <c r="K287" s="1084"/>
      <c r="L287" s="932"/>
    </row>
    <row r="288" spans="1:12" s="106" customFormat="1" ht="15.75" hidden="1" customHeight="1" outlineLevel="1">
      <c r="A288" s="932"/>
      <c r="B288" s="1087"/>
      <c r="C288" s="1096"/>
      <c r="D288" s="1092"/>
      <c r="E288" s="1092"/>
      <c r="F288" s="1094"/>
      <c r="G288" s="103"/>
      <c r="H288" s="101"/>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93"/>
      <c r="I289" s="1091"/>
      <c r="J289" s="1083"/>
      <c r="K289" s="1083"/>
      <c r="L289" s="932"/>
    </row>
    <row r="290" spans="1:12" s="106" customFormat="1" ht="15.75" hidden="1" customHeight="1" outlineLevel="1">
      <c r="A290" s="932"/>
      <c r="B290" s="1086"/>
      <c r="C290" s="1095"/>
      <c r="D290" s="1091"/>
      <c r="E290" s="1091"/>
      <c r="F290" s="1093"/>
      <c r="G290" s="98"/>
      <c r="H290" s="93"/>
      <c r="I290" s="1091"/>
      <c r="J290" s="1084"/>
      <c r="K290" s="1084"/>
      <c r="L290" s="932"/>
    </row>
    <row r="291" spans="1:12" s="106" customFormat="1" ht="15.75" hidden="1" customHeight="1" outlineLevel="1">
      <c r="A291" s="932"/>
      <c r="B291" s="1087"/>
      <c r="C291" s="1096"/>
      <c r="D291" s="1092"/>
      <c r="E291" s="1092"/>
      <c r="F291" s="1094"/>
      <c r="G291" s="103"/>
      <c r="H291" s="101"/>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93"/>
      <c r="I292" s="1091"/>
      <c r="J292" s="1083"/>
      <c r="K292" s="1083"/>
      <c r="L292" s="932"/>
    </row>
    <row r="293" spans="1:12" s="106" customFormat="1" ht="15.75" hidden="1" customHeight="1" outlineLevel="1">
      <c r="A293" s="932"/>
      <c r="B293" s="1086"/>
      <c r="C293" s="1095"/>
      <c r="D293" s="1091"/>
      <c r="E293" s="1091"/>
      <c r="F293" s="1093"/>
      <c r="G293" s="98"/>
      <c r="H293" s="93"/>
      <c r="I293" s="1091"/>
      <c r="J293" s="1084"/>
      <c r="K293" s="1084"/>
      <c r="L293" s="932"/>
    </row>
    <row r="294" spans="1:12" s="106" customFormat="1" ht="15.75" hidden="1" customHeight="1" outlineLevel="1">
      <c r="A294" s="932"/>
      <c r="B294" s="1087"/>
      <c r="C294" s="1096"/>
      <c r="D294" s="1092"/>
      <c r="E294" s="1092"/>
      <c r="F294" s="1094"/>
      <c r="G294" s="103"/>
      <c r="H294" s="101"/>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93"/>
      <c r="I295" s="1091"/>
      <c r="J295" s="1083"/>
      <c r="K295" s="1083"/>
      <c r="L295" s="932"/>
    </row>
    <row r="296" spans="1:12" s="106" customFormat="1" ht="15.75" hidden="1" customHeight="1" outlineLevel="1">
      <c r="A296" s="932"/>
      <c r="B296" s="1086"/>
      <c r="C296" s="1095"/>
      <c r="D296" s="1091"/>
      <c r="E296" s="1091"/>
      <c r="F296" s="1093"/>
      <c r="G296" s="98"/>
      <c r="H296" s="93"/>
      <c r="I296" s="1091"/>
      <c r="J296" s="1084"/>
      <c r="K296" s="1084"/>
      <c r="L296" s="932"/>
    </row>
    <row r="297" spans="1:12" s="106" customFormat="1" ht="15.75" hidden="1" customHeight="1" outlineLevel="1">
      <c r="A297" s="932"/>
      <c r="B297" s="1087"/>
      <c r="C297" s="1096"/>
      <c r="D297" s="1092"/>
      <c r="E297" s="1092"/>
      <c r="F297" s="1094"/>
      <c r="G297" s="103"/>
      <c r="H297" s="101"/>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93"/>
      <c r="I298" s="1091"/>
      <c r="J298" s="1083"/>
      <c r="K298" s="1083"/>
      <c r="L298" s="932"/>
    </row>
    <row r="299" spans="1:12" s="106" customFormat="1" ht="15.75" hidden="1" customHeight="1" outlineLevel="1">
      <c r="A299" s="932"/>
      <c r="B299" s="1086"/>
      <c r="C299" s="1095"/>
      <c r="D299" s="1091"/>
      <c r="E299" s="1091"/>
      <c r="F299" s="1093"/>
      <c r="G299" s="98"/>
      <c r="H299" s="93"/>
      <c r="I299" s="1091"/>
      <c r="J299" s="1084"/>
      <c r="K299" s="1084"/>
      <c r="L299" s="932"/>
    </row>
    <row r="300" spans="1:12" s="106" customFormat="1" ht="15.75" hidden="1" customHeight="1" outlineLevel="1">
      <c r="A300" s="932"/>
      <c r="B300" s="1087"/>
      <c r="C300" s="1096"/>
      <c r="D300" s="1092"/>
      <c r="E300" s="1092"/>
      <c r="F300" s="1094"/>
      <c r="G300" s="103"/>
      <c r="H300" s="101"/>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93"/>
      <c r="I301" s="1091"/>
      <c r="J301" s="1083"/>
      <c r="K301" s="1083"/>
      <c r="L301" s="932"/>
    </row>
    <row r="302" spans="1:12" s="106" customFormat="1" ht="15.75" hidden="1" customHeight="1" outlineLevel="1">
      <c r="A302" s="932"/>
      <c r="B302" s="1086"/>
      <c r="C302" s="1095"/>
      <c r="D302" s="1091"/>
      <c r="E302" s="1091"/>
      <c r="F302" s="1093"/>
      <c r="G302" s="98"/>
      <c r="H302" s="93"/>
      <c r="I302" s="1091"/>
      <c r="J302" s="1084"/>
      <c r="K302" s="1084"/>
      <c r="L302" s="932"/>
    </row>
    <row r="303" spans="1:12" s="106" customFormat="1" ht="15.75" hidden="1" customHeight="1" outlineLevel="1">
      <c r="A303" s="932"/>
      <c r="B303" s="1087"/>
      <c r="C303" s="1096"/>
      <c r="D303" s="1092"/>
      <c r="E303" s="1092"/>
      <c r="F303" s="1094"/>
      <c r="G303" s="103"/>
      <c r="H303" s="101"/>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93"/>
      <c r="I304" s="1091"/>
      <c r="J304" s="1083"/>
      <c r="K304" s="1083"/>
      <c r="L304" s="932"/>
    </row>
    <row r="305" spans="1:12" s="106" customFormat="1" ht="15.75" hidden="1" customHeight="1" outlineLevel="1">
      <c r="A305" s="932"/>
      <c r="B305" s="1086"/>
      <c r="C305" s="1095"/>
      <c r="D305" s="1091"/>
      <c r="E305" s="1091"/>
      <c r="F305" s="1093"/>
      <c r="G305" s="98"/>
      <c r="H305" s="93"/>
      <c r="I305" s="1091"/>
      <c r="J305" s="1084"/>
      <c r="K305" s="1084"/>
      <c r="L305" s="932"/>
    </row>
    <row r="306" spans="1:12" s="106" customFormat="1" ht="15.75" hidden="1" customHeight="1" outlineLevel="1">
      <c r="A306" s="932"/>
      <c r="B306" s="1087"/>
      <c r="C306" s="1096"/>
      <c r="D306" s="1092"/>
      <c r="E306" s="1092"/>
      <c r="F306" s="1094"/>
      <c r="G306" s="103"/>
      <c r="H306" s="101"/>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93"/>
      <c r="I307" s="1091"/>
      <c r="J307" s="1083"/>
      <c r="K307" s="1083"/>
      <c r="L307" s="932"/>
    </row>
    <row r="308" spans="1:12" s="106" customFormat="1" ht="15.75" hidden="1" customHeight="1" outlineLevel="1">
      <c r="A308" s="932"/>
      <c r="B308" s="1086"/>
      <c r="C308" s="1095"/>
      <c r="D308" s="1091"/>
      <c r="E308" s="1091"/>
      <c r="F308" s="1093"/>
      <c r="G308" s="98"/>
      <c r="H308" s="93"/>
      <c r="I308" s="1091"/>
      <c r="J308" s="1084"/>
      <c r="K308" s="1084"/>
      <c r="L308" s="932"/>
    </row>
    <row r="309" spans="1:12" s="106" customFormat="1" ht="15.75" hidden="1" customHeight="1" outlineLevel="1">
      <c r="A309" s="932"/>
      <c r="B309" s="1087"/>
      <c r="C309" s="1096"/>
      <c r="D309" s="1092"/>
      <c r="E309" s="1092"/>
      <c r="F309" s="1094"/>
      <c r="G309" s="103"/>
      <c r="H309" s="101"/>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93"/>
      <c r="I310" s="1091"/>
      <c r="J310" s="1083"/>
      <c r="K310" s="1083"/>
      <c r="L310" s="932"/>
    </row>
    <row r="311" spans="1:12" s="106" customFormat="1" ht="15.75" hidden="1" customHeight="1" outlineLevel="1">
      <c r="A311" s="932"/>
      <c r="B311" s="1086"/>
      <c r="C311" s="1095"/>
      <c r="D311" s="1091"/>
      <c r="E311" s="1091"/>
      <c r="F311" s="1093"/>
      <c r="G311" s="98"/>
      <c r="H311" s="93"/>
      <c r="I311" s="1091"/>
      <c r="J311" s="1084"/>
      <c r="K311" s="1084"/>
      <c r="L311" s="932"/>
    </row>
    <row r="312" spans="1:12" s="106" customFormat="1" ht="15.75" hidden="1" customHeight="1" outlineLevel="1">
      <c r="A312" s="932"/>
      <c r="B312" s="1087"/>
      <c r="C312" s="1096"/>
      <c r="D312" s="1092"/>
      <c r="E312" s="1092"/>
      <c r="F312" s="1094"/>
      <c r="G312" s="103"/>
      <c r="H312" s="101"/>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93"/>
      <c r="I313" s="1091"/>
      <c r="J313" s="1083"/>
      <c r="K313" s="1083"/>
      <c r="L313" s="932"/>
    </row>
    <row r="314" spans="1:12" s="106" customFormat="1" ht="15.75" hidden="1" customHeight="1" outlineLevel="1">
      <c r="A314" s="932"/>
      <c r="B314" s="1086"/>
      <c r="C314" s="1095"/>
      <c r="D314" s="1091"/>
      <c r="E314" s="1091"/>
      <c r="F314" s="1093"/>
      <c r="G314" s="98"/>
      <c r="H314" s="93"/>
      <c r="I314" s="1091"/>
      <c r="J314" s="1084"/>
      <c r="K314" s="1084"/>
      <c r="L314" s="932"/>
    </row>
    <row r="315" spans="1:12" s="106" customFormat="1" ht="15.75" hidden="1" customHeight="1" outlineLevel="1">
      <c r="A315" s="932"/>
      <c r="B315" s="1087"/>
      <c r="C315" s="1096"/>
      <c r="D315" s="1092"/>
      <c r="E315" s="1092"/>
      <c r="F315" s="1094"/>
      <c r="G315" s="103"/>
      <c r="H315" s="101"/>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93"/>
      <c r="I316" s="1091"/>
      <c r="J316" s="1083"/>
      <c r="K316" s="1083"/>
      <c r="L316" s="932"/>
    </row>
    <row r="317" spans="1:12" s="106" customFormat="1" ht="15.75" hidden="1" customHeight="1" outlineLevel="1">
      <c r="A317" s="932"/>
      <c r="B317" s="1086"/>
      <c r="C317" s="1095"/>
      <c r="D317" s="1091"/>
      <c r="E317" s="1091"/>
      <c r="F317" s="1093"/>
      <c r="G317" s="98"/>
      <c r="H317" s="93"/>
      <c r="I317" s="1091"/>
      <c r="J317" s="1084"/>
      <c r="K317" s="1084"/>
      <c r="L317" s="932"/>
    </row>
    <row r="318" spans="1:12" s="106" customFormat="1" ht="15.75" hidden="1" customHeight="1" outlineLevel="1">
      <c r="A318" s="932"/>
      <c r="B318" s="1087"/>
      <c r="C318" s="1096"/>
      <c r="D318" s="1092"/>
      <c r="E318" s="1092"/>
      <c r="F318" s="1094"/>
      <c r="G318" s="103"/>
      <c r="H318" s="101"/>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93"/>
      <c r="I319" s="1091"/>
      <c r="J319" s="1083"/>
      <c r="K319" s="1083"/>
      <c r="L319" s="932"/>
    </row>
    <row r="320" spans="1:12" s="106" customFormat="1" ht="15.75" hidden="1" customHeight="1" outlineLevel="1">
      <c r="A320" s="932"/>
      <c r="B320" s="1086"/>
      <c r="C320" s="1095"/>
      <c r="D320" s="1091"/>
      <c r="E320" s="1091"/>
      <c r="F320" s="1093"/>
      <c r="G320" s="98"/>
      <c r="H320" s="93"/>
      <c r="I320" s="1091"/>
      <c r="J320" s="1084"/>
      <c r="K320" s="1084"/>
      <c r="L320" s="932"/>
    </row>
    <row r="321" spans="1:12" s="106" customFormat="1" ht="15.75" hidden="1" customHeight="1" outlineLevel="1">
      <c r="A321" s="932"/>
      <c r="B321" s="1087"/>
      <c r="C321" s="1096"/>
      <c r="D321" s="1092"/>
      <c r="E321" s="1092"/>
      <c r="F321" s="1094"/>
      <c r="G321" s="103"/>
      <c r="H321" s="101"/>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93"/>
      <c r="I322" s="1091"/>
      <c r="J322" s="1083"/>
      <c r="K322" s="1083"/>
      <c r="L322" s="932"/>
    </row>
    <row r="323" spans="1:12" s="106" customFormat="1" ht="15.75" hidden="1" customHeight="1" outlineLevel="1">
      <c r="A323" s="932"/>
      <c r="B323" s="1086"/>
      <c r="C323" s="1095"/>
      <c r="D323" s="1091"/>
      <c r="E323" s="1091"/>
      <c r="F323" s="1093"/>
      <c r="G323" s="98"/>
      <c r="H323" s="93"/>
      <c r="I323" s="1091"/>
      <c r="J323" s="1084"/>
      <c r="K323" s="1084"/>
      <c r="L323" s="932"/>
    </row>
    <row r="324" spans="1:12" s="106" customFormat="1" ht="15.75" hidden="1" customHeight="1" outlineLevel="1">
      <c r="A324" s="932"/>
      <c r="B324" s="1087"/>
      <c r="C324" s="1096"/>
      <c r="D324" s="1092"/>
      <c r="E324" s="1092"/>
      <c r="F324" s="1094"/>
      <c r="G324" s="103"/>
      <c r="H324" s="101"/>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93"/>
      <c r="I325" s="1091"/>
      <c r="J325" s="1083"/>
      <c r="K325" s="1083"/>
      <c r="L325" s="932"/>
    </row>
    <row r="326" spans="1:12" s="106" customFormat="1" ht="15.75" hidden="1" customHeight="1" outlineLevel="1">
      <c r="A326" s="932"/>
      <c r="B326" s="1086"/>
      <c r="C326" s="1095"/>
      <c r="D326" s="1091"/>
      <c r="E326" s="1091"/>
      <c r="F326" s="1093"/>
      <c r="G326" s="98"/>
      <c r="H326" s="93"/>
      <c r="I326" s="1091"/>
      <c r="J326" s="1084"/>
      <c r="K326" s="1084"/>
      <c r="L326" s="932"/>
    </row>
    <row r="327" spans="1:12" s="106" customFormat="1" ht="15.75" hidden="1" customHeight="1" outlineLevel="1">
      <c r="A327" s="932"/>
      <c r="B327" s="1087"/>
      <c r="C327" s="1096"/>
      <c r="D327" s="1092"/>
      <c r="E327" s="1092"/>
      <c r="F327" s="1094"/>
      <c r="G327" s="103"/>
      <c r="H327" s="101"/>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93"/>
      <c r="I328" s="1091"/>
      <c r="J328" s="1083"/>
      <c r="K328" s="1083"/>
      <c r="L328" s="932"/>
    </row>
    <row r="329" spans="1:12" s="106" customFormat="1" ht="15.75" hidden="1" customHeight="1" outlineLevel="1">
      <c r="A329" s="932"/>
      <c r="B329" s="1086"/>
      <c r="C329" s="1095"/>
      <c r="D329" s="1091"/>
      <c r="E329" s="1091"/>
      <c r="F329" s="1093"/>
      <c r="G329" s="98"/>
      <c r="H329" s="93"/>
      <c r="I329" s="1091"/>
      <c r="J329" s="1084"/>
      <c r="K329" s="1084"/>
      <c r="L329" s="932"/>
    </row>
    <row r="330" spans="1:12" s="106" customFormat="1" ht="15.75" hidden="1" customHeight="1" outlineLevel="1">
      <c r="A330" s="932"/>
      <c r="B330" s="1087"/>
      <c r="C330" s="1096"/>
      <c r="D330" s="1092"/>
      <c r="E330" s="1092"/>
      <c r="F330" s="1094"/>
      <c r="G330" s="103"/>
      <c r="H330" s="101"/>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93"/>
      <c r="I331" s="1091"/>
      <c r="J331" s="1083"/>
      <c r="K331" s="1083"/>
      <c r="L331" s="932"/>
    </row>
    <row r="332" spans="1:12" s="106" customFormat="1" ht="15.75" hidden="1" customHeight="1" outlineLevel="1">
      <c r="A332" s="932"/>
      <c r="B332" s="1086"/>
      <c r="C332" s="1095"/>
      <c r="D332" s="1091"/>
      <c r="E332" s="1091"/>
      <c r="F332" s="1093"/>
      <c r="G332" s="98"/>
      <c r="H332" s="93"/>
      <c r="I332" s="1091"/>
      <c r="J332" s="1084"/>
      <c r="K332" s="1084"/>
      <c r="L332" s="932"/>
    </row>
    <row r="333" spans="1:12" s="106" customFormat="1" ht="15.75" hidden="1" customHeight="1" outlineLevel="1">
      <c r="A333" s="932"/>
      <c r="B333" s="1087"/>
      <c r="C333" s="1096"/>
      <c r="D333" s="1092"/>
      <c r="E333" s="1092"/>
      <c r="F333" s="1094"/>
      <c r="G333" s="103"/>
      <c r="H333" s="101"/>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93"/>
      <c r="I334" s="1091"/>
      <c r="J334" s="1083"/>
      <c r="K334" s="1083"/>
      <c r="L334" s="932"/>
    </row>
    <row r="335" spans="1:12" s="106" customFormat="1" ht="15.75" hidden="1" customHeight="1" outlineLevel="1">
      <c r="A335" s="932"/>
      <c r="B335" s="1086"/>
      <c r="C335" s="1095"/>
      <c r="D335" s="1091"/>
      <c r="E335" s="1091"/>
      <c r="F335" s="1093"/>
      <c r="G335" s="98"/>
      <c r="H335" s="93"/>
      <c r="I335" s="1091"/>
      <c r="J335" s="1084"/>
      <c r="K335" s="1084"/>
      <c r="L335" s="932"/>
    </row>
    <row r="336" spans="1:12" s="106" customFormat="1" ht="15.75" hidden="1" customHeight="1" outlineLevel="1">
      <c r="A336" s="932"/>
      <c r="B336" s="1087"/>
      <c r="C336" s="1096"/>
      <c r="D336" s="1092"/>
      <c r="E336" s="1092"/>
      <c r="F336" s="1094"/>
      <c r="G336" s="103"/>
      <c r="H336" s="101"/>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93"/>
      <c r="I337" s="1091"/>
      <c r="J337" s="1083"/>
      <c r="K337" s="1083"/>
      <c r="L337" s="932"/>
    </row>
    <row r="338" spans="1:12" s="106" customFormat="1" ht="15.75" hidden="1" customHeight="1" outlineLevel="1">
      <c r="A338" s="932"/>
      <c r="B338" s="1086"/>
      <c r="C338" s="1095"/>
      <c r="D338" s="1091"/>
      <c r="E338" s="1091"/>
      <c r="F338" s="1093"/>
      <c r="G338" s="98"/>
      <c r="H338" s="93"/>
      <c r="I338" s="1091"/>
      <c r="J338" s="1084"/>
      <c r="K338" s="1084"/>
      <c r="L338" s="932"/>
    </row>
    <row r="339" spans="1:12" s="106" customFormat="1" ht="15.75" hidden="1" customHeight="1" outlineLevel="1">
      <c r="A339" s="932"/>
      <c r="B339" s="1087"/>
      <c r="C339" s="1096"/>
      <c r="D339" s="1092"/>
      <c r="E339" s="1092"/>
      <c r="F339" s="1094"/>
      <c r="G339" s="103"/>
      <c r="H339" s="101"/>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93"/>
      <c r="I340" s="1091"/>
      <c r="J340" s="1083"/>
      <c r="K340" s="1083"/>
      <c r="L340" s="932"/>
    </row>
    <row r="341" spans="1:12" s="106" customFormat="1" ht="15.75" hidden="1" customHeight="1" outlineLevel="1">
      <c r="A341" s="932"/>
      <c r="B341" s="1086"/>
      <c r="C341" s="1095"/>
      <c r="D341" s="1091"/>
      <c r="E341" s="1091"/>
      <c r="F341" s="1093"/>
      <c r="G341" s="98"/>
      <c r="H341" s="93"/>
      <c r="I341" s="1091"/>
      <c r="J341" s="1084"/>
      <c r="K341" s="1084"/>
      <c r="L341" s="932"/>
    </row>
    <row r="342" spans="1:12" s="106" customFormat="1" ht="15.75" hidden="1" customHeight="1" outlineLevel="1">
      <c r="A342" s="932"/>
      <c r="B342" s="1087"/>
      <c r="C342" s="1096"/>
      <c r="D342" s="1092"/>
      <c r="E342" s="1092"/>
      <c r="F342" s="1094"/>
      <c r="G342" s="103"/>
      <c r="H342" s="101"/>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93"/>
      <c r="I343" s="1091"/>
      <c r="J343" s="1083"/>
      <c r="K343" s="1083"/>
      <c r="L343" s="932"/>
    </row>
    <row r="344" spans="1:12" s="106" customFormat="1" ht="15.75" hidden="1" customHeight="1" outlineLevel="1">
      <c r="A344" s="932"/>
      <c r="B344" s="1086"/>
      <c r="C344" s="1095"/>
      <c r="D344" s="1091"/>
      <c r="E344" s="1091"/>
      <c r="F344" s="1093"/>
      <c r="G344" s="98"/>
      <c r="H344" s="93"/>
      <c r="I344" s="1091"/>
      <c r="J344" s="1084"/>
      <c r="K344" s="1084"/>
      <c r="L344" s="932"/>
    </row>
    <row r="345" spans="1:12" s="106" customFormat="1" ht="15.75" hidden="1" customHeight="1" outlineLevel="1">
      <c r="A345" s="932"/>
      <c r="B345" s="1087"/>
      <c r="C345" s="1096"/>
      <c r="D345" s="1092"/>
      <c r="E345" s="1092"/>
      <c r="F345" s="1094"/>
      <c r="G345" s="103"/>
      <c r="H345" s="101"/>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93"/>
      <c r="I346" s="1091"/>
      <c r="J346" s="1083"/>
      <c r="K346" s="1083"/>
      <c r="L346" s="932"/>
    </row>
    <row r="347" spans="1:12" s="106" customFormat="1" ht="15.75" hidden="1" customHeight="1" outlineLevel="1">
      <c r="A347" s="932"/>
      <c r="B347" s="1086"/>
      <c r="C347" s="1095"/>
      <c r="D347" s="1091"/>
      <c r="E347" s="1091"/>
      <c r="F347" s="1093"/>
      <c r="G347" s="98"/>
      <c r="H347" s="93"/>
      <c r="I347" s="1091"/>
      <c r="J347" s="1084"/>
      <c r="K347" s="1084"/>
      <c r="L347" s="932"/>
    </row>
    <row r="348" spans="1:12" s="106" customFormat="1" ht="15.75" hidden="1" customHeight="1" outlineLevel="1">
      <c r="A348" s="932"/>
      <c r="B348" s="1087"/>
      <c r="C348" s="1096"/>
      <c r="D348" s="1092"/>
      <c r="E348" s="1092"/>
      <c r="F348" s="1094"/>
      <c r="G348" s="103"/>
      <c r="H348" s="101"/>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93"/>
      <c r="I349" s="1091"/>
      <c r="J349" s="1083"/>
      <c r="K349" s="1083"/>
      <c r="L349" s="932"/>
    </row>
    <row r="350" spans="1:12" s="106" customFormat="1" ht="15.75" hidden="1" customHeight="1" outlineLevel="1">
      <c r="A350" s="932"/>
      <c r="B350" s="1086"/>
      <c r="C350" s="1095"/>
      <c r="D350" s="1091"/>
      <c r="E350" s="1091"/>
      <c r="F350" s="1093"/>
      <c r="G350" s="98"/>
      <c r="H350" s="93"/>
      <c r="I350" s="1091"/>
      <c r="J350" s="1084"/>
      <c r="K350" s="1084"/>
      <c r="L350" s="932"/>
    </row>
    <row r="351" spans="1:12" s="106" customFormat="1" ht="15.75" hidden="1" customHeight="1" outlineLevel="1">
      <c r="A351" s="932"/>
      <c r="B351" s="1087"/>
      <c r="C351" s="1096"/>
      <c r="D351" s="1092"/>
      <c r="E351" s="1092"/>
      <c r="F351" s="1094"/>
      <c r="G351" s="103"/>
      <c r="H351" s="101"/>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93"/>
      <c r="I352" s="1091"/>
      <c r="J352" s="1083"/>
      <c r="K352" s="1083"/>
      <c r="L352" s="932"/>
    </row>
    <row r="353" spans="1:12" s="106" customFormat="1" ht="15.75" hidden="1" customHeight="1" outlineLevel="1">
      <c r="A353" s="932"/>
      <c r="B353" s="1086"/>
      <c r="C353" s="1095"/>
      <c r="D353" s="1091"/>
      <c r="E353" s="1091"/>
      <c r="F353" s="1093"/>
      <c r="G353" s="98"/>
      <c r="H353" s="93"/>
      <c r="I353" s="1091"/>
      <c r="J353" s="1084"/>
      <c r="K353" s="1084"/>
      <c r="L353" s="932"/>
    </row>
    <row r="354" spans="1:12" s="106" customFormat="1" ht="15.75" hidden="1" customHeight="1" outlineLevel="1">
      <c r="A354" s="932"/>
      <c r="B354" s="1087"/>
      <c r="C354" s="1096"/>
      <c r="D354" s="1092"/>
      <c r="E354" s="1092"/>
      <c r="F354" s="1094"/>
      <c r="G354" s="103"/>
      <c r="H354" s="101"/>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93"/>
      <c r="I355" s="1091"/>
      <c r="J355" s="1083"/>
      <c r="K355" s="1083"/>
      <c r="L355" s="932"/>
    </row>
    <row r="356" spans="1:12" s="106" customFormat="1" ht="15.75" hidden="1" customHeight="1" outlineLevel="1">
      <c r="A356" s="932"/>
      <c r="B356" s="1086"/>
      <c r="C356" s="1095"/>
      <c r="D356" s="1091"/>
      <c r="E356" s="1091"/>
      <c r="F356" s="1093"/>
      <c r="G356" s="98"/>
      <c r="H356" s="93"/>
      <c r="I356" s="1091"/>
      <c r="J356" s="1084"/>
      <c r="K356" s="1084"/>
      <c r="L356" s="932"/>
    </row>
    <row r="357" spans="1:12" s="106" customFormat="1" ht="15.75" hidden="1" customHeight="1" outlineLevel="1">
      <c r="A357" s="932"/>
      <c r="B357" s="1087"/>
      <c r="C357" s="1096"/>
      <c r="D357" s="1092"/>
      <c r="E357" s="1092"/>
      <c r="F357" s="1094"/>
      <c r="G357" s="103"/>
      <c r="H357" s="101"/>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93"/>
      <c r="I358" s="1091"/>
      <c r="J358" s="1083"/>
      <c r="K358" s="1083"/>
      <c r="L358" s="932"/>
    </row>
    <row r="359" spans="1:12" s="106" customFormat="1" ht="15.75" hidden="1" customHeight="1" outlineLevel="1">
      <c r="A359" s="932"/>
      <c r="B359" s="1086"/>
      <c r="C359" s="1095"/>
      <c r="D359" s="1091"/>
      <c r="E359" s="1091"/>
      <c r="F359" s="1093"/>
      <c r="G359" s="98"/>
      <c r="H359" s="93"/>
      <c r="I359" s="1091"/>
      <c r="J359" s="1084"/>
      <c r="K359" s="1084"/>
      <c r="L359" s="932"/>
    </row>
    <row r="360" spans="1:12" s="106" customFormat="1" ht="15.75" hidden="1" customHeight="1" outlineLevel="1">
      <c r="A360" s="932"/>
      <c r="B360" s="1087"/>
      <c r="C360" s="1096"/>
      <c r="D360" s="1092"/>
      <c r="E360" s="1092"/>
      <c r="F360" s="1094"/>
      <c r="G360" s="103"/>
      <c r="H360" s="101"/>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93"/>
      <c r="I361" s="1091"/>
      <c r="J361" s="1083"/>
      <c r="K361" s="1083"/>
      <c r="L361" s="932"/>
    </row>
    <row r="362" spans="1:12" s="106" customFormat="1" ht="15.75" hidden="1" customHeight="1" outlineLevel="1">
      <c r="A362" s="932"/>
      <c r="B362" s="1086"/>
      <c r="C362" s="1095"/>
      <c r="D362" s="1091"/>
      <c r="E362" s="1091"/>
      <c r="F362" s="1093"/>
      <c r="G362" s="98"/>
      <c r="H362" s="93"/>
      <c r="I362" s="1091"/>
      <c r="J362" s="1084"/>
      <c r="K362" s="1084"/>
      <c r="L362" s="932"/>
    </row>
    <row r="363" spans="1:12" s="106" customFormat="1" ht="15.75" hidden="1" customHeight="1" outlineLevel="1">
      <c r="A363" s="932"/>
      <c r="B363" s="1087"/>
      <c r="C363" s="1096"/>
      <c r="D363" s="1092"/>
      <c r="E363" s="1092"/>
      <c r="F363" s="1094"/>
      <c r="G363" s="103"/>
      <c r="H363" s="101"/>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93"/>
      <c r="I364" s="1091"/>
      <c r="J364" s="1083"/>
      <c r="K364" s="1083"/>
      <c r="L364" s="932"/>
    </row>
    <row r="365" spans="1:12" s="106" customFormat="1" ht="15.75" hidden="1" customHeight="1" outlineLevel="1">
      <c r="A365" s="932"/>
      <c r="B365" s="1086"/>
      <c r="C365" s="1095"/>
      <c r="D365" s="1091"/>
      <c r="E365" s="1091"/>
      <c r="F365" s="1093"/>
      <c r="G365" s="98"/>
      <c r="H365" s="93"/>
      <c r="I365" s="1091"/>
      <c r="J365" s="1084"/>
      <c r="K365" s="1084"/>
      <c r="L365" s="932"/>
    </row>
    <row r="366" spans="1:12" s="106" customFormat="1" ht="15.75" hidden="1" customHeight="1" outlineLevel="1">
      <c r="A366" s="932"/>
      <c r="B366" s="1087"/>
      <c r="C366" s="1096"/>
      <c r="D366" s="1092"/>
      <c r="E366" s="1092"/>
      <c r="F366" s="1094"/>
      <c r="G366" s="103"/>
      <c r="H366" s="101"/>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93"/>
      <c r="I367" s="1091"/>
      <c r="J367" s="1083"/>
      <c r="K367" s="1083"/>
      <c r="L367" s="932"/>
    </row>
    <row r="368" spans="1:12" s="106" customFormat="1" ht="15.75" hidden="1" customHeight="1" outlineLevel="1">
      <c r="A368" s="932"/>
      <c r="B368" s="1086"/>
      <c r="C368" s="1095"/>
      <c r="D368" s="1091"/>
      <c r="E368" s="1091"/>
      <c r="F368" s="1093"/>
      <c r="G368" s="98"/>
      <c r="H368" s="93"/>
      <c r="I368" s="1091"/>
      <c r="J368" s="1084"/>
      <c r="K368" s="1084"/>
      <c r="L368" s="932"/>
    </row>
    <row r="369" spans="1:12" s="106" customFormat="1" ht="15.75" hidden="1" customHeight="1" outlineLevel="1">
      <c r="A369" s="932"/>
      <c r="B369" s="1087"/>
      <c r="C369" s="1096"/>
      <c r="D369" s="1092"/>
      <c r="E369" s="1092"/>
      <c r="F369" s="1094"/>
      <c r="G369" s="103"/>
      <c r="H369" s="101"/>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93"/>
      <c r="I370" s="1091"/>
      <c r="J370" s="1083"/>
      <c r="K370" s="1083"/>
      <c r="L370" s="932"/>
    </row>
    <row r="371" spans="1:12" s="106" customFormat="1" ht="15.75" hidden="1" customHeight="1" outlineLevel="1">
      <c r="A371" s="932"/>
      <c r="B371" s="1086"/>
      <c r="C371" s="1095"/>
      <c r="D371" s="1091"/>
      <c r="E371" s="1091"/>
      <c r="F371" s="1093"/>
      <c r="G371" s="98"/>
      <c r="H371" s="93"/>
      <c r="I371" s="1091"/>
      <c r="J371" s="1084"/>
      <c r="K371" s="1084"/>
      <c r="L371" s="932"/>
    </row>
    <row r="372" spans="1:12" s="106" customFormat="1" ht="15.75" hidden="1" customHeight="1" outlineLevel="1">
      <c r="A372" s="932"/>
      <c r="B372" s="1087"/>
      <c r="C372" s="1096"/>
      <c r="D372" s="1092"/>
      <c r="E372" s="1092"/>
      <c r="F372" s="1094"/>
      <c r="G372" s="103"/>
      <c r="H372" s="101"/>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93"/>
      <c r="I373" s="1091"/>
      <c r="J373" s="1083"/>
      <c r="K373" s="1083"/>
      <c r="L373" s="932"/>
    </row>
    <row r="374" spans="1:12" s="106" customFormat="1" ht="15.75" hidden="1" customHeight="1" outlineLevel="1">
      <c r="A374" s="932"/>
      <c r="B374" s="1086"/>
      <c r="C374" s="1095"/>
      <c r="D374" s="1091"/>
      <c r="E374" s="1091"/>
      <c r="F374" s="1093"/>
      <c r="G374" s="98"/>
      <c r="H374" s="93"/>
      <c r="I374" s="1091"/>
      <c r="J374" s="1084"/>
      <c r="K374" s="1084"/>
      <c r="L374" s="932"/>
    </row>
    <row r="375" spans="1:12" s="106" customFormat="1" ht="15.75" hidden="1" customHeight="1" outlineLevel="1">
      <c r="A375" s="932"/>
      <c r="B375" s="1087"/>
      <c r="C375" s="1096"/>
      <c r="D375" s="1092"/>
      <c r="E375" s="1092"/>
      <c r="F375" s="1094"/>
      <c r="G375" s="103"/>
      <c r="H375" s="101"/>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93"/>
      <c r="I376" s="1091"/>
      <c r="J376" s="1083"/>
      <c r="K376" s="1083"/>
      <c r="L376" s="932"/>
    </row>
    <row r="377" spans="1:12" s="106" customFormat="1" ht="15.75" hidden="1" customHeight="1" outlineLevel="1">
      <c r="A377" s="932"/>
      <c r="B377" s="1086"/>
      <c r="C377" s="1095"/>
      <c r="D377" s="1091"/>
      <c r="E377" s="1091"/>
      <c r="F377" s="1093"/>
      <c r="G377" s="98"/>
      <c r="H377" s="93"/>
      <c r="I377" s="1091"/>
      <c r="J377" s="1084"/>
      <c r="K377" s="1084"/>
      <c r="L377" s="932"/>
    </row>
    <row r="378" spans="1:12" s="106" customFormat="1" ht="15.75" hidden="1" customHeight="1" outlineLevel="1">
      <c r="A378" s="932"/>
      <c r="B378" s="1087"/>
      <c r="C378" s="1096"/>
      <c r="D378" s="1092"/>
      <c r="E378" s="1092"/>
      <c r="F378" s="1094"/>
      <c r="G378" s="103"/>
      <c r="H378" s="101"/>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93"/>
      <c r="I379" s="1091"/>
      <c r="J379" s="1083"/>
      <c r="K379" s="1083"/>
      <c r="L379" s="932"/>
    </row>
    <row r="380" spans="1:12" s="106" customFormat="1" ht="15.75" hidden="1" customHeight="1" outlineLevel="1">
      <c r="A380" s="932"/>
      <c r="B380" s="1086"/>
      <c r="C380" s="1095"/>
      <c r="D380" s="1091"/>
      <c r="E380" s="1091"/>
      <c r="F380" s="1093"/>
      <c r="G380" s="98"/>
      <c r="H380" s="93"/>
      <c r="I380" s="1091"/>
      <c r="J380" s="1084"/>
      <c r="K380" s="1084"/>
      <c r="L380" s="932"/>
    </row>
    <row r="381" spans="1:12" s="106" customFormat="1" ht="15.75" hidden="1" customHeight="1" outlineLevel="1">
      <c r="A381" s="932"/>
      <c r="B381" s="1087"/>
      <c r="C381" s="1096"/>
      <c r="D381" s="1092"/>
      <c r="E381" s="1092"/>
      <c r="F381" s="1094"/>
      <c r="G381" s="103"/>
      <c r="H381" s="101"/>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93"/>
      <c r="I382" s="1091"/>
      <c r="J382" s="1083"/>
      <c r="K382" s="1083"/>
      <c r="L382" s="932"/>
    </row>
    <row r="383" spans="1:12" s="106" customFormat="1" ht="15.75" hidden="1" customHeight="1" outlineLevel="1">
      <c r="A383" s="932"/>
      <c r="B383" s="1086"/>
      <c r="C383" s="1095"/>
      <c r="D383" s="1091"/>
      <c r="E383" s="1091"/>
      <c r="F383" s="1093"/>
      <c r="G383" s="98"/>
      <c r="H383" s="93"/>
      <c r="I383" s="1091"/>
      <c r="J383" s="1084"/>
      <c r="K383" s="1084"/>
      <c r="L383" s="932"/>
    </row>
    <row r="384" spans="1:12" s="106" customFormat="1" ht="15.75" hidden="1" customHeight="1" outlineLevel="1">
      <c r="A384" s="932"/>
      <c r="B384" s="1087"/>
      <c r="C384" s="1096"/>
      <c r="D384" s="1092"/>
      <c r="E384" s="1092"/>
      <c r="F384" s="1094"/>
      <c r="G384" s="103"/>
      <c r="H384" s="101"/>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93"/>
      <c r="I385" s="1091"/>
      <c r="J385" s="1083"/>
      <c r="K385" s="1083"/>
      <c r="L385" s="932"/>
    </row>
    <row r="386" spans="1:12" s="106" customFormat="1" ht="15.75" hidden="1" customHeight="1" outlineLevel="1">
      <c r="A386" s="932"/>
      <c r="B386" s="1086"/>
      <c r="C386" s="1095"/>
      <c r="D386" s="1091"/>
      <c r="E386" s="1091"/>
      <c r="F386" s="1093"/>
      <c r="G386" s="98"/>
      <c r="H386" s="93"/>
      <c r="I386" s="1091"/>
      <c r="J386" s="1084"/>
      <c r="K386" s="1084"/>
      <c r="L386" s="932"/>
    </row>
    <row r="387" spans="1:12" s="106" customFormat="1" ht="15.75" hidden="1" customHeight="1" outlineLevel="1">
      <c r="A387" s="932"/>
      <c r="B387" s="1087"/>
      <c r="C387" s="1096"/>
      <c r="D387" s="1092"/>
      <c r="E387" s="1092"/>
      <c r="F387" s="1094"/>
      <c r="G387" s="103"/>
      <c r="H387" s="101"/>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93"/>
      <c r="I388" s="1091"/>
      <c r="J388" s="1083"/>
      <c r="K388" s="1083"/>
      <c r="L388" s="932"/>
    </row>
    <row r="389" spans="1:12" s="106" customFormat="1" ht="15.75" hidden="1" customHeight="1" outlineLevel="1">
      <c r="A389" s="932"/>
      <c r="B389" s="1086"/>
      <c r="C389" s="1095"/>
      <c r="D389" s="1091"/>
      <c r="E389" s="1091"/>
      <c r="F389" s="1093"/>
      <c r="G389" s="98"/>
      <c r="H389" s="93"/>
      <c r="I389" s="1091"/>
      <c r="J389" s="1084"/>
      <c r="K389" s="1084"/>
      <c r="L389" s="932"/>
    </row>
    <row r="390" spans="1:12" s="106" customFormat="1" ht="15.75" hidden="1" customHeight="1" outlineLevel="1">
      <c r="A390" s="932"/>
      <c r="B390" s="1087"/>
      <c r="C390" s="1096"/>
      <c r="D390" s="1092"/>
      <c r="E390" s="1092"/>
      <c r="F390" s="1094"/>
      <c r="G390" s="103"/>
      <c r="H390" s="101"/>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93"/>
      <c r="I391" s="1091"/>
      <c r="J391" s="1083"/>
      <c r="K391" s="1083"/>
      <c r="L391" s="932"/>
    </row>
    <row r="392" spans="1:12" s="106" customFormat="1" ht="15.75" hidden="1" customHeight="1" outlineLevel="1">
      <c r="A392" s="932"/>
      <c r="B392" s="1086"/>
      <c r="C392" s="1095"/>
      <c r="D392" s="1091"/>
      <c r="E392" s="1091"/>
      <c r="F392" s="1093"/>
      <c r="G392" s="98"/>
      <c r="H392" s="93"/>
      <c r="I392" s="1091"/>
      <c r="J392" s="1084"/>
      <c r="K392" s="1084"/>
      <c r="L392" s="932"/>
    </row>
    <row r="393" spans="1:12" s="106" customFormat="1" ht="15.75" hidden="1" customHeight="1" outlineLevel="1">
      <c r="A393" s="932"/>
      <c r="B393" s="1087"/>
      <c r="C393" s="1096"/>
      <c r="D393" s="1092"/>
      <c r="E393" s="1092"/>
      <c r="F393" s="1094"/>
      <c r="G393" s="103"/>
      <c r="H393" s="101"/>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93"/>
      <c r="I394" s="1091"/>
      <c r="J394" s="1083"/>
      <c r="K394" s="1083"/>
      <c r="L394" s="932"/>
    </row>
    <row r="395" spans="1:12" s="106" customFormat="1" ht="15.75" hidden="1" customHeight="1" outlineLevel="1">
      <c r="A395" s="932"/>
      <c r="B395" s="1086"/>
      <c r="C395" s="1095"/>
      <c r="D395" s="1091"/>
      <c r="E395" s="1091"/>
      <c r="F395" s="1093"/>
      <c r="G395" s="98"/>
      <c r="H395" s="93"/>
      <c r="I395" s="1091"/>
      <c r="J395" s="1084"/>
      <c r="K395" s="1084"/>
      <c r="L395" s="932"/>
    </row>
    <row r="396" spans="1:12" s="106" customFormat="1" ht="15.75" hidden="1" customHeight="1" outlineLevel="1">
      <c r="A396" s="932"/>
      <c r="B396" s="1087"/>
      <c r="C396" s="1096"/>
      <c r="D396" s="1092"/>
      <c r="E396" s="1092"/>
      <c r="F396" s="1094"/>
      <c r="G396" s="103"/>
      <c r="H396" s="101"/>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93"/>
      <c r="I397" s="1091"/>
      <c r="J397" s="1083"/>
      <c r="K397" s="1083"/>
      <c r="L397" s="932"/>
    </row>
    <row r="398" spans="1:12" s="106" customFormat="1" ht="15.75" hidden="1" customHeight="1" outlineLevel="1">
      <c r="A398" s="932"/>
      <c r="B398" s="1086"/>
      <c r="C398" s="1095"/>
      <c r="D398" s="1091"/>
      <c r="E398" s="1091"/>
      <c r="F398" s="1093"/>
      <c r="G398" s="98"/>
      <c r="H398" s="93"/>
      <c r="I398" s="1091"/>
      <c r="J398" s="1084"/>
      <c r="K398" s="1084"/>
      <c r="L398" s="932"/>
    </row>
    <row r="399" spans="1:12" s="106" customFormat="1" ht="15.75" hidden="1" customHeight="1" outlineLevel="1">
      <c r="A399" s="932"/>
      <c r="B399" s="1087"/>
      <c r="C399" s="1096"/>
      <c r="D399" s="1092"/>
      <c r="E399" s="1092"/>
      <c r="F399" s="1094"/>
      <c r="G399" s="103"/>
      <c r="H399" s="101"/>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93"/>
      <c r="I400" s="1091"/>
      <c r="J400" s="1083"/>
      <c r="K400" s="1083"/>
      <c r="L400" s="932"/>
    </row>
    <row r="401" spans="1:12" s="106" customFormat="1" ht="15.75" hidden="1" customHeight="1" outlineLevel="1">
      <c r="A401" s="932"/>
      <c r="B401" s="1086"/>
      <c r="C401" s="1095"/>
      <c r="D401" s="1091"/>
      <c r="E401" s="1091"/>
      <c r="F401" s="1093"/>
      <c r="G401" s="98"/>
      <c r="H401" s="93"/>
      <c r="I401" s="1091"/>
      <c r="J401" s="1084"/>
      <c r="K401" s="1084"/>
      <c r="L401" s="932"/>
    </row>
    <row r="402" spans="1:12" s="106" customFormat="1" ht="15.75" hidden="1" customHeight="1" outlineLevel="1">
      <c r="A402" s="932"/>
      <c r="B402" s="1087"/>
      <c r="C402" s="1096"/>
      <c r="D402" s="1092"/>
      <c r="E402" s="1092"/>
      <c r="F402" s="1094"/>
      <c r="G402" s="103"/>
      <c r="H402" s="101"/>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93"/>
      <c r="I403" s="1091"/>
      <c r="J403" s="1083"/>
      <c r="K403" s="1083"/>
      <c r="L403" s="932"/>
    </row>
    <row r="404" spans="1:12" s="106" customFormat="1" ht="15.75" hidden="1" customHeight="1" outlineLevel="1">
      <c r="A404" s="932"/>
      <c r="B404" s="1086"/>
      <c r="C404" s="1095"/>
      <c r="D404" s="1091"/>
      <c r="E404" s="1091"/>
      <c r="F404" s="1093"/>
      <c r="G404" s="98"/>
      <c r="H404" s="93"/>
      <c r="I404" s="1091"/>
      <c r="J404" s="1084"/>
      <c r="K404" s="1084"/>
      <c r="L404" s="932"/>
    </row>
    <row r="405" spans="1:12" s="106" customFormat="1" ht="15.75" hidden="1" customHeight="1" outlineLevel="1">
      <c r="A405" s="932"/>
      <c r="B405" s="1087"/>
      <c r="C405" s="1096"/>
      <c r="D405" s="1092"/>
      <c r="E405" s="1092"/>
      <c r="F405" s="1094"/>
      <c r="G405" s="103"/>
      <c r="H405" s="101"/>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93"/>
      <c r="I406" s="1091"/>
      <c r="J406" s="1083"/>
      <c r="K406" s="1083"/>
      <c r="L406" s="932"/>
    </row>
    <row r="407" spans="1:12" s="106" customFormat="1" ht="15.75" hidden="1" customHeight="1" outlineLevel="1">
      <c r="A407" s="932"/>
      <c r="B407" s="1086"/>
      <c r="C407" s="1095"/>
      <c r="D407" s="1091"/>
      <c r="E407" s="1091"/>
      <c r="F407" s="1093"/>
      <c r="G407" s="98"/>
      <c r="H407" s="93"/>
      <c r="I407" s="1091"/>
      <c r="J407" s="1084"/>
      <c r="K407" s="1084"/>
      <c r="L407" s="932"/>
    </row>
    <row r="408" spans="1:12" s="106" customFormat="1" ht="15.75" hidden="1" customHeight="1" outlineLevel="1">
      <c r="A408" s="932"/>
      <c r="B408" s="1087"/>
      <c r="C408" s="1096"/>
      <c r="D408" s="1092"/>
      <c r="E408" s="1092"/>
      <c r="F408" s="1094"/>
      <c r="G408" s="103"/>
      <c r="H408" s="101"/>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93"/>
      <c r="I409" s="1091"/>
      <c r="J409" s="1083"/>
      <c r="K409" s="1083"/>
      <c r="L409" s="932"/>
    </row>
    <row r="410" spans="1:12" s="106" customFormat="1" ht="15.75" hidden="1" customHeight="1" outlineLevel="1">
      <c r="A410" s="932"/>
      <c r="B410" s="1086"/>
      <c r="C410" s="1095"/>
      <c r="D410" s="1091"/>
      <c r="E410" s="1091"/>
      <c r="F410" s="1093"/>
      <c r="G410" s="98"/>
      <c r="H410" s="93"/>
      <c r="I410" s="1091"/>
      <c r="J410" s="1084"/>
      <c r="K410" s="1084"/>
      <c r="L410" s="932"/>
    </row>
    <row r="411" spans="1:12" s="106" customFormat="1" ht="15.75" hidden="1" customHeight="1" outlineLevel="1">
      <c r="A411" s="932"/>
      <c r="B411" s="1087"/>
      <c r="C411" s="1096"/>
      <c r="D411" s="1092"/>
      <c r="E411" s="1092"/>
      <c r="F411" s="1094"/>
      <c r="G411" s="103"/>
      <c r="H411" s="101"/>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93"/>
      <c r="I412" s="1091"/>
      <c r="J412" s="1083"/>
      <c r="K412" s="1083"/>
      <c r="L412" s="932"/>
    </row>
    <row r="413" spans="1:12" s="106" customFormat="1" ht="15.75" hidden="1" customHeight="1" outlineLevel="1">
      <c r="A413" s="932"/>
      <c r="B413" s="1086"/>
      <c r="C413" s="1095"/>
      <c r="D413" s="1091"/>
      <c r="E413" s="1091"/>
      <c r="F413" s="1093"/>
      <c r="G413" s="98"/>
      <c r="H413" s="93"/>
      <c r="I413" s="1091"/>
      <c r="J413" s="1084"/>
      <c r="K413" s="1084"/>
      <c r="L413" s="932"/>
    </row>
    <row r="414" spans="1:12" s="106" customFormat="1" ht="15.75" hidden="1" customHeight="1" outlineLevel="1">
      <c r="A414" s="932"/>
      <c r="B414" s="1087"/>
      <c r="C414" s="1096"/>
      <c r="D414" s="1092"/>
      <c r="E414" s="1092"/>
      <c r="F414" s="1094"/>
      <c r="G414" s="103"/>
      <c r="H414" s="101"/>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93"/>
      <c r="I415" s="1091"/>
      <c r="J415" s="1083"/>
      <c r="K415" s="1083"/>
      <c r="L415" s="932"/>
    </row>
    <row r="416" spans="1:12" s="106" customFormat="1" ht="15.75" hidden="1" customHeight="1" outlineLevel="1">
      <c r="A416" s="932"/>
      <c r="B416" s="1086"/>
      <c r="C416" s="1095"/>
      <c r="D416" s="1091"/>
      <c r="E416" s="1091"/>
      <c r="F416" s="1093"/>
      <c r="G416" s="98"/>
      <c r="H416" s="93"/>
      <c r="I416" s="1091"/>
      <c r="J416" s="1084"/>
      <c r="K416" s="1084"/>
      <c r="L416" s="932"/>
    </row>
    <row r="417" spans="1:12" s="106" customFormat="1" ht="15.75" hidden="1" customHeight="1" outlineLevel="1">
      <c r="A417" s="932"/>
      <c r="B417" s="1087"/>
      <c r="C417" s="1096"/>
      <c r="D417" s="1092"/>
      <c r="E417" s="1092"/>
      <c r="F417" s="1094"/>
      <c r="G417" s="103"/>
      <c r="H417" s="101"/>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93"/>
      <c r="I418" s="1091"/>
      <c r="J418" s="1083"/>
      <c r="K418" s="1083"/>
      <c r="L418" s="932"/>
    </row>
    <row r="419" spans="1:12" s="106" customFormat="1" ht="15.75" hidden="1" customHeight="1" outlineLevel="1">
      <c r="A419" s="932"/>
      <c r="B419" s="1086"/>
      <c r="C419" s="1095"/>
      <c r="D419" s="1091"/>
      <c r="E419" s="1091"/>
      <c r="F419" s="1093"/>
      <c r="G419" s="98"/>
      <c r="H419" s="93"/>
      <c r="I419" s="1091"/>
      <c r="J419" s="1084"/>
      <c r="K419" s="1084"/>
      <c r="L419" s="932"/>
    </row>
    <row r="420" spans="1:12" s="106" customFormat="1" ht="15.75" hidden="1" customHeight="1" outlineLevel="1">
      <c r="A420" s="932"/>
      <c r="B420" s="1087"/>
      <c r="C420" s="1096"/>
      <c r="D420" s="1092"/>
      <c r="E420" s="1092"/>
      <c r="F420" s="1094"/>
      <c r="G420" s="103"/>
      <c r="H420" s="101"/>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93"/>
      <c r="I421" s="1091"/>
      <c r="J421" s="1083"/>
      <c r="K421" s="1083"/>
      <c r="L421" s="932"/>
    </row>
    <row r="422" spans="1:12" s="106" customFormat="1" ht="15.75" hidden="1" customHeight="1" outlineLevel="1">
      <c r="A422" s="932"/>
      <c r="B422" s="1086"/>
      <c r="C422" s="1095"/>
      <c r="D422" s="1091"/>
      <c r="E422" s="1091"/>
      <c r="F422" s="1093"/>
      <c r="G422" s="98"/>
      <c r="H422" s="93"/>
      <c r="I422" s="1091"/>
      <c r="J422" s="1084"/>
      <c r="K422" s="1084"/>
      <c r="L422" s="932"/>
    </row>
    <row r="423" spans="1:12" s="106" customFormat="1" ht="15.75" hidden="1" customHeight="1" outlineLevel="1">
      <c r="A423" s="932"/>
      <c r="B423" s="1087"/>
      <c r="C423" s="1096"/>
      <c r="D423" s="1092"/>
      <c r="E423" s="1092"/>
      <c r="F423" s="1094"/>
      <c r="G423" s="103"/>
      <c r="H423" s="101"/>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93"/>
      <c r="I424" s="1091"/>
      <c r="J424" s="1083"/>
      <c r="K424" s="1083"/>
      <c r="L424" s="932"/>
    </row>
    <row r="425" spans="1:12" s="106" customFormat="1" ht="15.75" hidden="1" customHeight="1" outlineLevel="1">
      <c r="A425" s="932"/>
      <c r="B425" s="1086"/>
      <c r="C425" s="1095"/>
      <c r="D425" s="1091"/>
      <c r="E425" s="1091"/>
      <c r="F425" s="1093"/>
      <c r="G425" s="98"/>
      <c r="H425" s="93"/>
      <c r="I425" s="1091"/>
      <c r="J425" s="1084"/>
      <c r="K425" s="1084"/>
      <c r="L425" s="932"/>
    </row>
    <row r="426" spans="1:12" s="106" customFormat="1" ht="15.75" hidden="1" customHeight="1" outlineLevel="1">
      <c r="A426" s="932"/>
      <c r="B426" s="1087"/>
      <c r="C426" s="1096"/>
      <c r="D426" s="1092"/>
      <c r="E426" s="1092"/>
      <c r="F426" s="1094"/>
      <c r="G426" s="103"/>
      <c r="H426" s="101"/>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93"/>
      <c r="I427" s="1091"/>
      <c r="J427" s="1083"/>
      <c r="K427" s="1083"/>
      <c r="L427" s="932"/>
    </row>
    <row r="428" spans="1:12" s="106" customFormat="1" ht="15.75" hidden="1" customHeight="1" outlineLevel="1">
      <c r="A428" s="932"/>
      <c r="B428" s="1086"/>
      <c r="C428" s="1095"/>
      <c r="D428" s="1091"/>
      <c r="E428" s="1091"/>
      <c r="F428" s="1093"/>
      <c r="G428" s="98"/>
      <c r="H428" s="93"/>
      <c r="I428" s="1091"/>
      <c r="J428" s="1084"/>
      <c r="K428" s="1084"/>
      <c r="L428" s="932"/>
    </row>
    <row r="429" spans="1:12" s="106" customFormat="1" ht="15.75" hidden="1" customHeight="1" outlineLevel="1">
      <c r="A429" s="932"/>
      <c r="B429" s="1087"/>
      <c r="C429" s="1096"/>
      <c r="D429" s="1092"/>
      <c r="E429" s="1092"/>
      <c r="F429" s="1094"/>
      <c r="G429" s="103"/>
      <c r="H429" s="101"/>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93"/>
      <c r="I430" s="1091"/>
      <c r="J430" s="1083"/>
      <c r="K430" s="1083"/>
      <c r="L430" s="932"/>
    </row>
    <row r="431" spans="1:12" s="106" customFormat="1" ht="15.75" hidden="1" customHeight="1" outlineLevel="1">
      <c r="A431" s="932"/>
      <c r="B431" s="1086"/>
      <c r="C431" s="1095"/>
      <c r="D431" s="1091"/>
      <c r="E431" s="1091"/>
      <c r="F431" s="1093"/>
      <c r="G431" s="98"/>
      <c r="H431" s="93"/>
      <c r="I431" s="1091"/>
      <c r="J431" s="1084"/>
      <c r="K431" s="1084"/>
      <c r="L431" s="932"/>
    </row>
    <row r="432" spans="1:12" s="106" customFormat="1" ht="15.75" hidden="1" customHeight="1" outlineLevel="1">
      <c r="A432" s="932"/>
      <c r="B432" s="1087"/>
      <c r="C432" s="1096"/>
      <c r="D432" s="1092"/>
      <c r="E432" s="1092"/>
      <c r="F432" s="1094"/>
      <c r="G432" s="103"/>
      <c r="H432" s="101"/>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93"/>
      <c r="I433" s="1091"/>
      <c r="J433" s="1083"/>
      <c r="K433" s="1083"/>
      <c r="L433" s="932"/>
    </row>
    <row r="434" spans="1:12" s="106" customFormat="1" ht="15.75" hidden="1" customHeight="1" outlineLevel="1">
      <c r="A434" s="932"/>
      <c r="B434" s="1086"/>
      <c r="C434" s="1095"/>
      <c r="D434" s="1091"/>
      <c r="E434" s="1091"/>
      <c r="F434" s="1093"/>
      <c r="G434" s="98"/>
      <c r="H434" s="93"/>
      <c r="I434" s="1091"/>
      <c r="J434" s="1084"/>
      <c r="K434" s="1084"/>
      <c r="L434" s="932"/>
    </row>
    <row r="435" spans="1:12" s="106" customFormat="1" ht="15.75" hidden="1" customHeight="1" outlineLevel="1">
      <c r="A435" s="932"/>
      <c r="B435" s="1087"/>
      <c r="C435" s="1096"/>
      <c r="D435" s="1092"/>
      <c r="E435" s="1092"/>
      <c r="F435" s="1094"/>
      <c r="G435" s="103"/>
      <c r="H435" s="101"/>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93"/>
      <c r="I436" s="1091"/>
      <c r="J436" s="1083"/>
      <c r="K436" s="1083"/>
      <c r="L436" s="932"/>
    </row>
    <row r="437" spans="1:12" s="106" customFormat="1" ht="15.75" hidden="1" customHeight="1" outlineLevel="1">
      <c r="A437" s="932"/>
      <c r="B437" s="1086"/>
      <c r="C437" s="1095"/>
      <c r="D437" s="1091"/>
      <c r="E437" s="1091"/>
      <c r="F437" s="1093"/>
      <c r="G437" s="98"/>
      <c r="H437" s="93"/>
      <c r="I437" s="1091"/>
      <c r="J437" s="1084"/>
      <c r="K437" s="1084"/>
      <c r="L437" s="932"/>
    </row>
    <row r="438" spans="1:12" s="106" customFormat="1" ht="15.75" hidden="1" customHeight="1" outlineLevel="1">
      <c r="A438" s="932"/>
      <c r="B438" s="1087"/>
      <c r="C438" s="1096"/>
      <c r="D438" s="1092"/>
      <c r="E438" s="1092"/>
      <c r="F438" s="1094"/>
      <c r="G438" s="103"/>
      <c r="H438" s="101"/>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93"/>
      <c r="I439" s="1091"/>
      <c r="J439" s="1083"/>
      <c r="K439" s="1083"/>
      <c r="L439" s="932"/>
    </row>
    <row r="440" spans="1:12" s="106" customFormat="1" ht="15.75" hidden="1" customHeight="1" outlineLevel="1">
      <c r="A440" s="932"/>
      <c r="B440" s="1086"/>
      <c r="C440" s="1095"/>
      <c r="D440" s="1091"/>
      <c r="E440" s="1091"/>
      <c r="F440" s="1093"/>
      <c r="G440" s="98"/>
      <c r="H440" s="93"/>
      <c r="I440" s="1091"/>
      <c r="J440" s="1084"/>
      <c r="K440" s="1084"/>
      <c r="L440" s="932"/>
    </row>
    <row r="441" spans="1:12" s="106" customFormat="1" ht="15.75" hidden="1" customHeight="1" outlineLevel="1">
      <c r="A441" s="932"/>
      <c r="B441" s="1087"/>
      <c r="C441" s="1096"/>
      <c r="D441" s="1092"/>
      <c r="E441" s="1092"/>
      <c r="F441" s="1094"/>
      <c r="G441" s="103"/>
      <c r="H441" s="101"/>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93"/>
      <c r="I442" s="1091"/>
      <c r="J442" s="1083"/>
      <c r="K442" s="1083"/>
      <c r="L442" s="932"/>
    </row>
    <row r="443" spans="1:12" s="106" customFormat="1" ht="15.75" hidden="1" customHeight="1" outlineLevel="1">
      <c r="A443" s="932"/>
      <c r="B443" s="1086"/>
      <c r="C443" s="1095"/>
      <c r="D443" s="1091"/>
      <c r="E443" s="1091"/>
      <c r="F443" s="1093"/>
      <c r="G443" s="98"/>
      <c r="H443" s="93"/>
      <c r="I443" s="1091"/>
      <c r="J443" s="1084"/>
      <c r="K443" s="1084"/>
      <c r="L443" s="932"/>
    </row>
    <row r="444" spans="1:12" s="106" customFormat="1" ht="15.75" hidden="1" customHeight="1" outlineLevel="1">
      <c r="A444" s="932"/>
      <c r="B444" s="1087"/>
      <c r="C444" s="1096"/>
      <c r="D444" s="1092"/>
      <c r="E444" s="1092"/>
      <c r="F444" s="1094"/>
      <c r="G444" s="103"/>
      <c r="H444" s="101"/>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93"/>
      <c r="I445" s="1091"/>
      <c r="J445" s="1083"/>
      <c r="K445" s="1083"/>
      <c r="L445" s="932"/>
    </row>
    <row r="446" spans="1:12" s="106" customFormat="1" ht="15.75" hidden="1" customHeight="1" outlineLevel="1">
      <c r="A446" s="932"/>
      <c r="B446" s="1086"/>
      <c r="C446" s="1095"/>
      <c r="D446" s="1091"/>
      <c r="E446" s="1091"/>
      <c r="F446" s="1093"/>
      <c r="G446" s="98"/>
      <c r="H446" s="93"/>
      <c r="I446" s="1091"/>
      <c r="J446" s="1084"/>
      <c r="K446" s="1084"/>
      <c r="L446" s="932"/>
    </row>
    <row r="447" spans="1:12" s="106" customFormat="1" ht="15.75" hidden="1" customHeight="1" outlineLevel="1">
      <c r="A447" s="932"/>
      <c r="B447" s="1087"/>
      <c r="C447" s="1096"/>
      <c r="D447" s="1092"/>
      <c r="E447" s="1092"/>
      <c r="F447" s="1094"/>
      <c r="G447" s="103"/>
      <c r="H447" s="101"/>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93"/>
      <c r="I448" s="1091"/>
      <c r="J448" s="1083"/>
      <c r="K448" s="1083"/>
      <c r="L448" s="932"/>
    </row>
    <row r="449" spans="1:12" s="106" customFormat="1" ht="15.75" hidden="1" customHeight="1" outlineLevel="1">
      <c r="A449" s="932"/>
      <c r="B449" s="1086"/>
      <c r="C449" s="1095"/>
      <c r="D449" s="1091"/>
      <c r="E449" s="1091"/>
      <c r="F449" s="1093"/>
      <c r="G449" s="98"/>
      <c r="H449" s="93"/>
      <c r="I449" s="1091"/>
      <c r="J449" s="1084"/>
      <c r="K449" s="1084"/>
      <c r="L449" s="932"/>
    </row>
    <row r="450" spans="1:12" s="106" customFormat="1" ht="15.75" hidden="1" customHeight="1" outlineLevel="1">
      <c r="A450" s="932"/>
      <c r="B450" s="1087"/>
      <c r="C450" s="1096"/>
      <c r="D450" s="1092"/>
      <c r="E450" s="1092"/>
      <c r="F450" s="1094"/>
      <c r="G450" s="103"/>
      <c r="H450" s="101"/>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93"/>
      <c r="I451" s="1091"/>
      <c r="J451" s="1083"/>
      <c r="K451" s="1083"/>
      <c r="L451" s="932"/>
    </row>
    <row r="452" spans="1:12" s="106" customFormat="1" ht="15.75" hidden="1" customHeight="1" outlineLevel="1">
      <c r="A452" s="932"/>
      <c r="B452" s="1086"/>
      <c r="C452" s="1095"/>
      <c r="D452" s="1091"/>
      <c r="E452" s="1091"/>
      <c r="F452" s="1093"/>
      <c r="G452" s="98"/>
      <c r="H452" s="93"/>
      <c r="I452" s="1091"/>
      <c r="J452" s="1084"/>
      <c r="K452" s="1084"/>
      <c r="L452" s="932"/>
    </row>
    <row r="453" spans="1:12" s="106" customFormat="1" ht="15.75" hidden="1" customHeight="1" outlineLevel="1">
      <c r="A453" s="932"/>
      <c r="B453" s="1087"/>
      <c r="C453" s="1096"/>
      <c r="D453" s="1092"/>
      <c r="E453" s="1092"/>
      <c r="F453" s="1094"/>
      <c r="G453" s="103"/>
      <c r="H453" s="101"/>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93"/>
      <c r="I454" s="1091"/>
      <c r="J454" s="1083"/>
      <c r="K454" s="1083"/>
      <c r="L454" s="932"/>
    </row>
    <row r="455" spans="1:12" s="106" customFormat="1" ht="15.75" hidden="1" customHeight="1" outlineLevel="1">
      <c r="A455" s="932"/>
      <c r="B455" s="1086"/>
      <c r="C455" s="1095"/>
      <c r="D455" s="1091"/>
      <c r="E455" s="1091"/>
      <c r="F455" s="1093"/>
      <c r="G455" s="98"/>
      <c r="H455" s="93"/>
      <c r="I455" s="1091"/>
      <c r="J455" s="1084"/>
      <c r="K455" s="1084"/>
      <c r="L455" s="932"/>
    </row>
    <row r="456" spans="1:12" s="106" customFormat="1" ht="15.75" hidden="1" customHeight="1" outlineLevel="1">
      <c r="A456" s="932"/>
      <c r="B456" s="1087"/>
      <c r="C456" s="1096"/>
      <c r="D456" s="1092"/>
      <c r="E456" s="1092"/>
      <c r="F456" s="1094"/>
      <c r="G456" s="103"/>
      <c r="H456" s="101"/>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93"/>
      <c r="I457" s="1091"/>
      <c r="J457" s="1083"/>
      <c r="K457" s="1083"/>
      <c r="L457" s="932"/>
    </row>
    <row r="458" spans="1:12" s="106" customFormat="1" ht="15.75" hidden="1" customHeight="1" outlineLevel="1">
      <c r="A458" s="932"/>
      <c r="B458" s="1086"/>
      <c r="C458" s="1095"/>
      <c r="D458" s="1091"/>
      <c r="E458" s="1091"/>
      <c r="F458" s="1093"/>
      <c r="G458" s="98"/>
      <c r="H458" s="93"/>
      <c r="I458" s="1091"/>
      <c r="J458" s="1084"/>
      <c r="K458" s="1084"/>
      <c r="L458" s="932"/>
    </row>
    <row r="459" spans="1:12" s="106" customFormat="1" ht="15.75" hidden="1" customHeight="1" outlineLevel="1">
      <c r="A459" s="932"/>
      <c r="B459" s="1087"/>
      <c r="C459" s="1096"/>
      <c r="D459" s="1092"/>
      <c r="E459" s="1092"/>
      <c r="F459" s="1094"/>
      <c r="G459" s="103"/>
      <c r="H459" s="101"/>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93"/>
      <c r="I460" s="1091"/>
      <c r="J460" s="1083"/>
      <c r="K460" s="1083"/>
      <c r="L460" s="932"/>
    </row>
    <row r="461" spans="1:12" s="106" customFormat="1" ht="15.75" hidden="1" customHeight="1" outlineLevel="1">
      <c r="A461" s="932"/>
      <c r="B461" s="1086"/>
      <c r="C461" s="1095"/>
      <c r="D461" s="1091"/>
      <c r="E461" s="1091"/>
      <c r="F461" s="1093"/>
      <c r="G461" s="98"/>
      <c r="H461" s="93"/>
      <c r="I461" s="1091"/>
      <c r="J461" s="1084"/>
      <c r="K461" s="1084"/>
      <c r="L461" s="932"/>
    </row>
    <row r="462" spans="1:12" s="106" customFormat="1" ht="15.75" hidden="1" customHeight="1" outlineLevel="1">
      <c r="A462" s="932"/>
      <c r="B462" s="1087"/>
      <c r="C462" s="1096"/>
      <c r="D462" s="1092"/>
      <c r="E462" s="1092"/>
      <c r="F462" s="1094"/>
      <c r="G462" s="103"/>
      <c r="H462" s="101"/>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93"/>
      <c r="I463" s="1091"/>
      <c r="J463" s="1083"/>
      <c r="K463" s="1083"/>
      <c r="L463" s="932"/>
    </row>
    <row r="464" spans="1:12" s="106" customFormat="1" ht="15.75" hidden="1" customHeight="1" outlineLevel="1">
      <c r="A464" s="932"/>
      <c r="B464" s="1086"/>
      <c r="C464" s="1095"/>
      <c r="D464" s="1091"/>
      <c r="E464" s="1091"/>
      <c r="F464" s="1093"/>
      <c r="G464" s="98"/>
      <c r="H464" s="93"/>
      <c r="I464" s="1091"/>
      <c r="J464" s="1084"/>
      <c r="K464" s="1084"/>
      <c r="L464" s="932"/>
    </row>
    <row r="465" spans="1:12" s="106" customFormat="1" ht="15.75" hidden="1" customHeight="1" outlineLevel="1">
      <c r="A465" s="932"/>
      <c r="B465" s="1087"/>
      <c r="C465" s="1096"/>
      <c r="D465" s="1092"/>
      <c r="E465" s="1092"/>
      <c r="F465" s="1094"/>
      <c r="G465" s="103"/>
      <c r="H465" s="101"/>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93"/>
      <c r="I466" s="1091"/>
      <c r="J466" s="1083"/>
      <c r="K466" s="1083"/>
      <c r="L466" s="932"/>
    </row>
    <row r="467" spans="1:12" s="106" customFormat="1" ht="15.75" hidden="1" customHeight="1" outlineLevel="1">
      <c r="A467" s="932"/>
      <c r="B467" s="1086"/>
      <c r="C467" s="1095"/>
      <c r="D467" s="1091"/>
      <c r="E467" s="1091"/>
      <c r="F467" s="1093"/>
      <c r="G467" s="98"/>
      <c r="H467" s="93"/>
      <c r="I467" s="1091"/>
      <c r="J467" s="1084"/>
      <c r="K467" s="1084"/>
      <c r="L467" s="932"/>
    </row>
    <row r="468" spans="1:12" s="106" customFormat="1" ht="15.75" hidden="1" customHeight="1" outlineLevel="1">
      <c r="A468" s="932"/>
      <c r="B468" s="1087"/>
      <c r="C468" s="1096"/>
      <c r="D468" s="1092"/>
      <c r="E468" s="1092"/>
      <c r="F468" s="1094"/>
      <c r="G468" s="103"/>
      <c r="H468" s="101"/>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93"/>
      <c r="I469" s="1091"/>
      <c r="J469" s="1083"/>
      <c r="K469" s="1083"/>
      <c r="L469" s="932"/>
    </row>
    <row r="470" spans="1:12" s="106" customFormat="1" ht="15.75" hidden="1" customHeight="1" outlineLevel="1">
      <c r="A470" s="932"/>
      <c r="B470" s="1086"/>
      <c r="C470" s="1095"/>
      <c r="D470" s="1091"/>
      <c r="E470" s="1091"/>
      <c r="F470" s="1093"/>
      <c r="G470" s="98"/>
      <c r="H470" s="93"/>
      <c r="I470" s="1091"/>
      <c r="J470" s="1084"/>
      <c r="K470" s="1084"/>
      <c r="L470" s="932"/>
    </row>
    <row r="471" spans="1:12" s="106" customFormat="1" ht="15.75" hidden="1" customHeight="1" outlineLevel="1">
      <c r="A471" s="932"/>
      <c r="B471" s="1087"/>
      <c r="C471" s="1096"/>
      <c r="D471" s="1092"/>
      <c r="E471" s="1092"/>
      <c r="F471" s="1094"/>
      <c r="G471" s="103"/>
      <c r="H471" s="101"/>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93"/>
      <c r="I472" s="1091"/>
      <c r="J472" s="1083"/>
      <c r="K472" s="1083"/>
      <c r="L472" s="932"/>
    </row>
    <row r="473" spans="1:12" s="106" customFormat="1" ht="15.75" hidden="1" customHeight="1" outlineLevel="1">
      <c r="A473" s="932"/>
      <c r="B473" s="1086"/>
      <c r="C473" s="1095"/>
      <c r="D473" s="1091"/>
      <c r="E473" s="1091"/>
      <c r="F473" s="1093"/>
      <c r="G473" s="98"/>
      <c r="H473" s="93"/>
      <c r="I473" s="1091"/>
      <c r="J473" s="1084"/>
      <c r="K473" s="1084"/>
      <c r="L473" s="932"/>
    </row>
    <row r="474" spans="1:12" s="106" customFormat="1" ht="15.75" hidden="1" customHeight="1" outlineLevel="1">
      <c r="A474" s="932"/>
      <c r="B474" s="1087"/>
      <c r="C474" s="1096"/>
      <c r="D474" s="1092"/>
      <c r="E474" s="1092"/>
      <c r="F474" s="1094"/>
      <c r="G474" s="103"/>
      <c r="H474" s="101"/>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93"/>
      <c r="I475" s="1091"/>
      <c r="J475" s="1083"/>
      <c r="K475" s="1083"/>
      <c r="L475" s="932"/>
    </row>
    <row r="476" spans="1:12" s="106" customFormat="1" ht="15.75" hidden="1" customHeight="1" outlineLevel="1">
      <c r="A476" s="932"/>
      <c r="B476" s="1086"/>
      <c r="C476" s="1095"/>
      <c r="D476" s="1091"/>
      <c r="E476" s="1091"/>
      <c r="F476" s="1093"/>
      <c r="G476" s="98"/>
      <c r="H476" s="93"/>
      <c r="I476" s="1091"/>
      <c r="J476" s="1084"/>
      <c r="K476" s="1084"/>
      <c r="L476" s="932"/>
    </row>
    <row r="477" spans="1:12" s="106" customFormat="1" ht="15.75" hidden="1" customHeight="1" outlineLevel="1">
      <c r="A477" s="932"/>
      <c r="B477" s="1087"/>
      <c r="C477" s="1096"/>
      <c r="D477" s="1092"/>
      <c r="E477" s="1092"/>
      <c r="F477" s="1094"/>
      <c r="G477" s="103"/>
      <c r="H477" s="101"/>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93"/>
      <c r="I478" s="1091"/>
      <c r="J478" s="1083"/>
      <c r="K478" s="1083"/>
      <c r="L478" s="932"/>
    </row>
    <row r="479" spans="1:12" s="106" customFormat="1" ht="15.75" hidden="1" customHeight="1" outlineLevel="1">
      <c r="A479" s="932"/>
      <c r="B479" s="1086"/>
      <c r="C479" s="1095"/>
      <c r="D479" s="1091"/>
      <c r="E479" s="1091"/>
      <c r="F479" s="1093"/>
      <c r="G479" s="98"/>
      <c r="H479" s="93"/>
      <c r="I479" s="1091"/>
      <c r="J479" s="1084"/>
      <c r="K479" s="1084"/>
      <c r="L479" s="932"/>
    </row>
    <row r="480" spans="1:12" s="106" customFormat="1" ht="15.75" hidden="1" customHeight="1" outlineLevel="1">
      <c r="A480" s="932"/>
      <c r="B480" s="1087"/>
      <c r="C480" s="1096"/>
      <c r="D480" s="1092"/>
      <c r="E480" s="1092"/>
      <c r="F480" s="1094"/>
      <c r="G480" s="103"/>
      <c r="H480" s="101"/>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93"/>
      <c r="I481" s="1091"/>
      <c r="J481" s="1083"/>
      <c r="K481" s="1083"/>
      <c r="L481" s="932"/>
    </row>
    <row r="482" spans="1:12" s="106" customFormat="1" ht="15.75" hidden="1" customHeight="1" outlineLevel="1">
      <c r="A482" s="932"/>
      <c r="B482" s="1086"/>
      <c r="C482" s="1095"/>
      <c r="D482" s="1091"/>
      <c r="E482" s="1091"/>
      <c r="F482" s="1093"/>
      <c r="G482" s="98"/>
      <c r="H482" s="93"/>
      <c r="I482" s="1091"/>
      <c r="J482" s="1084"/>
      <c r="K482" s="1084"/>
      <c r="L482" s="932"/>
    </row>
    <row r="483" spans="1:12" s="106" customFormat="1" ht="15.75" hidden="1" customHeight="1" outlineLevel="1">
      <c r="A483" s="932"/>
      <c r="B483" s="1087"/>
      <c r="C483" s="1096"/>
      <c r="D483" s="1092"/>
      <c r="E483" s="1092"/>
      <c r="F483" s="1094"/>
      <c r="G483" s="103"/>
      <c r="H483" s="101"/>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93"/>
      <c r="I484" s="1091"/>
      <c r="J484" s="1083"/>
      <c r="K484" s="1083"/>
      <c r="L484" s="932"/>
    </row>
    <row r="485" spans="1:12" s="106" customFormat="1" ht="15.75" hidden="1" customHeight="1" outlineLevel="1">
      <c r="A485" s="932"/>
      <c r="B485" s="1086"/>
      <c r="C485" s="1095"/>
      <c r="D485" s="1091"/>
      <c r="E485" s="1091"/>
      <c r="F485" s="1093"/>
      <c r="G485" s="98"/>
      <c r="H485" s="93"/>
      <c r="I485" s="1091"/>
      <c r="J485" s="1084"/>
      <c r="K485" s="1084"/>
      <c r="L485" s="932"/>
    </row>
    <row r="486" spans="1:12" s="106" customFormat="1" ht="15.75" hidden="1" customHeight="1" outlineLevel="1">
      <c r="A486" s="932"/>
      <c r="B486" s="1087"/>
      <c r="C486" s="1096"/>
      <c r="D486" s="1092"/>
      <c r="E486" s="1092"/>
      <c r="F486" s="1094"/>
      <c r="G486" s="103"/>
      <c r="H486" s="101"/>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93"/>
      <c r="I487" s="1091"/>
      <c r="J487" s="1083"/>
      <c r="K487" s="1083"/>
      <c r="L487" s="932"/>
    </row>
    <row r="488" spans="1:12" s="106" customFormat="1" ht="15.75" hidden="1" customHeight="1" outlineLevel="1">
      <c r="A488" s="932"/>
      <c r="B488" s="1086"/>
      <c r="C488" s="1095"/>
      <c r="D488" s="1091"/>
      <c r="E488" s="1091"/>
      <c r="F488" s="1093"/>
      <c r="G488" s="98"/>
      <c r="H488" s="93"/>
      <c r="I488" s="1091"/>
      <c r="J488" s="1084"/>
      <c r="K488" s="1084"/>
      <c r="L488" s="932"/>
    </row>
    <row r="489" spans="1:12" s="106" customFormat="1" ht="15.75" hidden="1" customHeight="1" outlineLevel="1">
      <c r="A489" s="932"/>
      <c r="B489" s="1087"/>
      <c r="C489" s="1096"/>
      <c r="D489" s="1092"/>
      <c r="E489" s="1092"/>
      <c r="F489" s="1094"/>
      <c r="G489" s="103"/>
      <c r="H489" s="101"/>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93"/>
      <c r="I490" s="1091"/>
      <c r="J490" s="1083"/>
      <c r="K490" s="1083"/>
      <c r="L490" s="932"/>
    </row>
    <row r="491" spans="1:12" s="106" customFormat="1" ht="15.75" hidden="1" customHeight="1" outlineLevel="1">
      <c r="A491" s="932"/>
      <c r="B491" s="1086"/>
      <c r="C491" s="1095"/>
      <c r="D491" s="1091"/>
      <c r="E491" s="1091"/>
      <c r="F491" s="1093"/>
      <c r="G491" s="98"/>
      <c r="H491" s="93"/>
      <c r="I491" s="1091"/>
      <c r="J491" s="1084"/>
      <c r="K491" s="1084"/>
      <c r="L491" s="932"/>
    </row>
    <row r="492" spans="1:12" s="106" customFormat="1" ht="15.75" hidden="1" customHeight="1" outlineLevel="1">
      <c r="A492" s="932"/>
      <c r="B492" s="1087"/>
      <c r="C492" s="1096"/>
      <c r="D492" s="1092"/>
      <c r="E492" s="1092"/>
      <c r="F492" s="1094"/>
      <c r="G492" s="103"/>
      <c r="H492" s="101"/>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93"/>
      <c r="I493" s="1091"/>
      <c r="J493" s="1083"/>
      <c r="K493" s="1083"/>
      <c r="L493" s="932"/>
    </row>
    <row r="494" spans="1:12" s="106" customFormat="1" ht="15.75" hidden="1" customHeight="1" outlineLevel="1">
      <c r="A494" s="932"/>
      <c r="B494" s="1086"/>
      <c r="C494" s="1095"/>
      <c r="D494" s="1091"/>
      <c r="E494" s="1091"/>
      <c r="F494" s="1093"/>
      <c r="G494" s="98"/>
      <c r="H494" s="93"/>
      <c r="I494" s="1091"/>
      <c r="J494" s="1084"/>
      <c r="K494" s="1084"/>
      <c r="L494" s="932"/>
    </row>
    <row r="495" spans="1:12" s="106" customFormat="1" ht="15.75" hidden="1" customHeight="1" outlineLevel="1">
      <c r="A495" s="932"/>
      <c r="B495" s="1087"/>
      <c r="C495" s="1096"/>
      <c r="D495" s="1092"/>
      <c r="E495" s="1092"/>
      <c r="F495" s="1094"/>
      <c r="G495" s="103"/>
      <c r="H495" s="101"/>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93"/>
      <c r="I496" s="1091"/>
      <c r="J496" s="1083"/>
      <c r="K496" s="1083"/>
      <c r="L496" s="932"/>
    </row>
    <row r="497" spans="1:12" s="106" customFormat="1" ht="15.75" hidden="1" customHeight="1" outlineLevel="1">
      <c r="A497" s="932"/>
      <c r="B497" s="1086"/>
      <c r="C497" s="1095"/>
      <c r="D497" s="1091"/>
      <c r="E497" s="1091"/>
      <c r="F497" s="1093"/>
      <c r="G497" s="98"/>
      <c r="H497" s="93"/>
      <c r="I497" s="1091"/>
      <c r="J497" s="1084"/>
      <c r="K497" s="1084"/>
      <c r="L497" s="932"/>
    </row>
    <row r="498" spans="1:12" s="106" customFormat="1" ht="15.75" hidden="1" customHeight="1" outlineLevel="1">
      <c r="A498" s="932"/>
      <c r="B498" s="1087"/>
      <c r="C498" s="1096"/>
      <c r="D498" s="1092"/>
      <c r="E498" s="1092"/>
      <c r="F498" s="1094"/>
      <c r="G498" s="103"/>
      <c r="H498" s="101"/>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93"/>
      <c r="I499" s="1091"/>
      <c r="J499" s="1083"/>
      <c r="K499" s="1083"/>
      <c r="L499" s="932"/>
    </row>
    <row r="500" spans="1:12" s="106" customFormat="1" ht="15.75" hidden="1" customHeight="1" outlineLevel="1">
      <c r="A500" s="932"/>
      <c r="B500" s="1086"/>
      <c r="C500" s="1095"/>
      <c r="D500" s="1091"/>
      <c r="E500" s="1091"/>
      <c r="F500" s="1093"/>
      <c r="G500" s="98"/>
      <c r="H500" s="93"/>
      <c r="I500" s="1091"/>
      <c r="J500" s="1084"/>
      <c r="K500" s="1084"/>
      <c r="L500" s="932"/>
    </row>
    <row r="501" spans="1:12" s="106" customFormat="1" ht="15.75" hidden="1" customHeight="1" outlineLevel="1">
      <c r="A501" s="932"/>
      <c r="B501" s="1087"/>
      <c r="C501" s="1096"/>
      <c r="D501" s="1092"/>
      <c r="E501" s="1092"/>
      <c r="F501" s="1094"/>
      <c r="G501" s="103"/>
      <c r="H501" s="101"/>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93"/>
      <c r="I502" s="1091"/>
      <c r="J502" s="1083"/>
      <c r="K502" s="1083"/>
      <c r="L502" s="932"/>
    </row>
    <row r="503" spans="1:12" s="106" customFormat="1" ht="15.75" hidden="1" customHeight="1" outlineLevel="1">
      <c r="A503" s="932"/>
      <c r="B503" s="1086"/>
      <c r="C503" s="1095"/>
      <c r="D503" s="1091"/>
      <c r="E503" s="1091"/>
      <c r="F503" s="1093"/>
      <c r="G503" s="98"/>
      <c r="H503" s="93"/>
      <c r="I503" s="1091"/>
      <c r="J503" s="1084"/>
      <c r="K503" s="1084"/>
      <c r="L503" s="932"/>
    </row>
    <row r="504" spans="1:12" s="106" customFormat="1" ht="15.75" hidden="1" customHeight="1" outlineLevel="1">
      <c r="A504" s="932"/>
      <c r="B504" s="1087"/>
      <c r="C504" s="1096"/>
      <c r="D504" s="1092"/>
      <c r="E504" s="1092"/>
      <c r="F504" s="1094"/>
      <c r="G504" s="103"/>
      <c r="H504" s="101"/>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93"/>
      <c r="I505" s="1091"/>
      <c r="J505" s="1083"/>
      <c r="K505" s="1083"/>
      <c r="L505" s="932"/>
    </row>
    <row r="506" spans="1:12" s="106" customFormat="1" ht="15.75" hidden="1" customHeight="1" outlineLevel="1">
      <c r="A506" s="932"/>
      <c r="B506" s="1086"/>
      <c r="C506" s="1095"/>
      <c r="D506" s="1091"/>
      <c r="E506" s="1091"/>
      <c r="F506" s="1093"/>
      <c r="G506" s="98"/>
      <c r="H506" s="93"/>
      <c r="I506" s="1091"/>
      <c r="J506" s="1084"/>
      <c r="K506" s="1084"/>
      <c r="L506" s="932"/>
    </row>
    <row r="507" spans="1:12" s="106" customFormat="1" ht="15.75" hidden="1" customHeight="1" outlineLevel="1">
      <c r="A507" s="932"/>
      <c r="B507" s="1087"/>
      <c r="C507" s="1096"/>
      <c r="D507" s="1092"/>
      <c r="E507" s="1092"/>
      <c r="F507" s="1094"/>
      <c r="G507" s="103"/>
      <c r="H507" s="101"/>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93"/>
      <c r="I508" s="1091"/>
      <c r="J508" s="1083"/>
      <c r="K508" s="1083"/>
      <c r="L508" s="932"/>
    </row>
    <row r="509" spans="1:12" s="106" customFormat="1" ht="15.75" hidden="1" customHeight="1" outlineLevel="1">
      <c r="A509" s="932"/>
      <c r="B509" s="1086"/>
      <c r="C509" s="1095"/>
      <c r="D509" s="1091"/>
      <c r="E509" s="1091"/>
      <c r="F509" s="1093"/>
      <c r="G509" s="98"/>
      <c r="H509" s="93"/>
      <c r="I509" s="1091"/>
      <c r="J509" s="1084"/>
      <c r="K509" s="1084"/>
      <c r="L509" s="932"/>
    </row>
    <row r="510" spans="1:12" s="106" customFormat="1" ht="15.75" hidden="1" customHeight="1" outlineLevel="1">
      <c r="A510" s="932"/>
      <c r="B510" s="1087"/>
      <c r="C510" s="1096"/>
      <c r="D510" s="1092"/>
      <c r="E510" s="1092"/>
      <c r="F510" s="1094"/>
      <c r="G510" s="103"/>
      <c r="H510" s="101"/>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93"/>
      <c r="I511" s="1091"/>
      <c r="J511" s="1083"/>
      <c r="K511" s="1083"/>
      <c r="L511" s="932"/>
    </row>
    <row r="512" spans="1:12" s="106" customFormat="1" ht="15.75" hidden="1" customHeight="1" outlineLevel="1">
      <c r="A512" s="932"/>
      <c r="B512" s="1086"/>
      <c r="C512" s="1095"/>
      <c r="D512" s="1091"/>
      <c r="E512" s="1091"/>
      <c r="F512" s="1093"/>
      <c r="G512" s="98"/>
      <c r="H512" s="93"/>
      <c r="I512" s="1091"/>
      <c r="J512" s="1084"/>
      <c r="K512" s="1084"/>
      <c r="L512" s="932"/>
    </row>
    <row r="513" spans="1:12" s="106" customFormat="1" ht="15.75" hidden="1" customHeight="1" outlineLevel="1">
      <c r="A513" s="932"/>
      <c r="B513" s="1087"/>
      <c r="C513" s="1096"/>
      <c r="D513" s="1092"/>
      <c r="E513" s="1092"/>
      <c r="F513" s="1094"/>
      <c r="G513" s="103"/>
      <c r="H513" s="101"/>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93"/>
      <c r="I514" s="1091"/>
      <c r="J514" s="1083"/>
      <c r="K514" s="1083"/>
      <c r="L514" s="932"/>
    </row>
    <row r="515" spans="1:12" s="106" customFormat="1" ht="15.75" hidden="1" customHeight="1" outlineLevel="1">
      <c r="A515" s="932"/>
      <c r="B515" s="1086"/>
      <c r="C515" s="1095"/>
      <c r="D515" s="1091"/>
      <c r="E515" s="1091"/>
      <c r="F515" s="1093"/>
      <c r="G515" s="98"/>
      <c r="H515" s="93"/>
      <c r="I515" s="1091"/>
      <c r="J515" s="1084"/>
      <c r="K515" s="1084"/>
      <c r="L515" s="932"/>
    </row>
    <row r="516" spans="1:12" s="106" customFormat="1" ht="15.75" hidden="1" customHeight="1" outlineLevel="1">
      <c r="A516" s="932"/>
      <c r="B516" s="1087"/>
      <c r="C516" s="1096"/>
      <c r="D516" s="1092"/>
      <c r="E516" s="1092"/>
      <c r="F516" s="1094"/>
      <c r="G516" s="103"/>
      <c r="H516" s="101"/>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93"/>
      <c r="I517" s="1091"/>
      <c r="J517" s="1083"/>
      <c r="K517" s="1083"/>
      <c r="L517" s="932"/>
    </row>
    <row r="518" spans="1:12" s="106" customFormat="1" ht="15.75" hidden="1" customHeight="1" outlineLevel="1">
      <c r="A518" s="932"/>
      <c r="B518" s="1086"/>
      <c r="C518" s="1095"/>
      <c r="D518" s="1091"/>
      <c r="E518" s="1091"/>
      <c r="F518" s="1093"/>
      <c r="G518" s="98"/>
      <c r="H518" s="93"/>
      <c r="I518" s="1091"/>
      <c r="J518" s="1084"/>
      <c r="K518" s="1084"/>
      <c r="L518" s="932"/>
    </row>
    <row r="519" spans="1:12" s="106" customFormat="1" ht="15.75" hidden="1" customHeight="1" outlineLevel="1">
      <c r="A519" s="932"/>
      <c r="B519" s="1087"/>
      <c r="C519" s="1096"/>
      <c r="D519" s="1092"/>
      <c r="E519" s="1092"/>
      <c r="F519" s="1094"/>
      <c r="G519" s="103"/>
      <c r="H519" s="101"/>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93"/>
      <c r="I520" s="1091"/>
      <c r="J520" s="1083"/>
      <c r="K520" s="1083"/>
      <c r="L520" s="932"/>
    </row>
    <row r="521" spans="1:12" s="106" customFormat="1" ht="15.75" hidden="1" customHeight="1" outlineLevel="1">
      <c r="A521" s="932"/>
      <c r="B521" s="1086"/>
      <c r="C521" s="1095"/>
      <c r="D521" s="1091"/>
      <c r="E521" s="1091"/>
      <c r="F521" s="1093"/>
      <c r="G521" s="98"/>
      <c r="H521" s="93"/>
      <c r="I521" s="1091"/>
      <c r="J521" s="1084"/>
      <c r="K521" s="1084"/>
      <c r="L521" s="932"/>
    </row>
    <row r="522" spans="1:12" s="106" customFormat="1" ht="15.75" hidden="1" customHeight="1" outlineLevel="1">
      <c r="A522" s="932"/>
      <c r="B522" s="1087"/>
      <c r="C522" s="1096"/>
      <c r="D522" s="1092"/>
      <c r="E522" s="1092"/>
      <c r="F522" s="1094"/>
      <c r="G522" s="103"/>
      <c r="H522" s="101"/>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93"/>
      <c r="I523" s="1091"/>
      <c r="J523" s="1083"/>
      <c r="K523" s="1083"/>
      <c r="L523" s="932"/>
    </row>
    <row r="524" spans="1:12" s="106" customFormat="1" ht="15.75" hidden="1" customHeight="1" outlineLevel="1">
      <c r="A524" s="932"/>
      <c r="B524" s="1086"/>
      <c r="C524" s="1095"/>
      <c r="D524" s="1091"/>
      <c r="E524" s="1091"/>
      <c r="F524" s="1093"/>
      <c r="G524" s="98"/>
      <c r="H524" s="93"/>
      <c r="I524" s="1091"/>
      <c r="J524" s="1084"/>
      <c r="K524" s="1084"/>
      <c r="L524" s="932"/>
    </row>
    <row r="525" spans="1:12" s="106" customFormat="1" ht="15.75" hidden="1" customHeight="1" outlineLevel="1">
      <c r="A525" s="932"/>
      <c r="B525" s="1087"/>
      <c r="C525" s="1096"/>
      <c r="D525" s="1092"/>
      <c r="E525" s="1092"/>
      <c r="F525" s="1094"/>
      <c r="G525" s="103"/>
      <c r="H525" s="101"/>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93"/>
      <c r="I526" s="1091"/>
      <c r="J526" s="1083"/>
      <c r="K526" s="1083"/>
      <c r="L526" s="932"/>
    </row>
    <row r="527" spans="1:12" s="106" customFormat="1" ht="15.75" hidden="1" customHeight="1" outlineLevel="1">
      <c r="A527" s="932"/>
      <c r="B527" s="1086"/>
      <c r="C527" s="1095"/>
      <c r="D527" s="1091"/>
      <c r="E527" s="1091"/>
      <c r="F527" s="1093"/>
      <c r="G527" s="98"/>
      <c r="H527" s="93"/>
      <c r="I527" s="1091"/>
      <c r="J527" s="1084"/>
      <c r="K527" s="1084"/>
      <c r="L527" s="932"/>
    </row>
    <row r="528" spans="1:12" s="106" customFormat="1" ht="15.75" hidden="1" customHeight="1" outlineLevel="1">
      <c r="A528" s="932"/>
      <c r="B528" s="1087"/>
      <c r="C528" s="1096"/>
      <c r="D528" s="1092"/>
      <c r="E528" s="1092"/>
      <c r="F528" s="1094"/>
      <c r="G528" s="103"/>
      <c r="H528" s="101"/>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93"/>
      <c r="I529" s="1091"/>
      <c r="J529" s="1083"/>
      <c r="K529" s="1083"/>
      <c r="L529" s="932"/>
    </row>
    <row r="530" spans="1:12" s="106" customFormat="1" ht="15.75" hidden="1" customHeight="1" outlineLevel="1">
      <c r="A530" s="932"/>
      <c r="B530" s="1086"/>
      <c r="C530" s="1095"/>
      <c r="D530" s="1091"/>
      <c r="E530" s="1091"/>
      <c r="F530" s="1093"/>
      <c r="G530" s="98"/>
      <c r="H530" s="93"/>
      <c r="I530" s="1091"/>
      <c r="J530" s="1084"/>
      <c r="K530" s="1084"/>
      <c r="L530" s="932"/>
    </row>
    <row r="531" spans="1:12" s="106" customFormat="1" ht="15.75" hidden="1" customHeight="1" outlineLevel="1">
      <c r="A531" s="932"/>
      <c r="B531" s="1087"/>
      <c r="C531" s="1096"/>
      <c r="D531" s="1092"/>
      <c r="E531" s="1092"/>
      <c r="F531" s="1094"/>
      <c r="G531" s="103"/>
      <c r="H531" s="101"/>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93"/>
      <c r="I532" s="1091"/>
      <c r="J532" s="1083"/>
      <c r="K532" s="1083"/>
      <c r="L532" s="932"/>
    </row>
    <row r="533" spans="1:12" s="106" customFormat="1" ht="15.75" hidden="1" customHeight="1" outlineLevel="1">
      <c r="A533" s="932"/>
      <c r="B533" s="1086"/>
      <c r="C533" s="1095"/>
      <c r="D533" s="1091"/>
      <c r="E533" s="1091"/>
      <c r="F533" s="1093"/>
      <c r="G533" s="98"/>
      <c r="H533" s="93"/>
      <c r="I533" s="1091"/>
      <c r="J533" s="1084"/>
      <c r="K533" s="1084"/>
      <c r="L533" s="932"/>
    </row>
    <row r="534" spans="1:12" s="106" customFormat="1" ht="15.75" hidden="1" customHeight="1" outlineLevel="1">
      <c r="A534" s="932"/>
      <c r="B534" s="1087"/>
      <c r="C534" s="1096"/>
      <c r="D534" s="1092"/>
      <c r="E534" s="1092"/>
      <c r="F534" s="1094"/>
      <c r="G534" s="103"/>
      <c r="H534" s="101"/>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93"/>
      <c r="I535" s="1091"/>
      <c r="J535" s="1083"/>
      <c r="K535" s="1083"/>
      <c r="L535" s="932"/>
    </row>
    <row r="536" spans="1:12" s="106" customFormat="1" ht="15.75" hidden="1" customHeight="1" outlineLevel="1">
      <c r="A536" s="932"/>
      <c r="B536" s="1086"/>
      <c r="C536" s="1095"/>
      <c r="D536" s="1091"/>
      <c r="E536" s="1091"/>
      <c r="F536" s="1093"/>
      <c r="G536" s="98"/>
      <c r="H536" s="93"/>
      <c r="I536" s="1091"/>
      <c r="J536" s="1084"/>
      <c r="K536" s="1084"/>
      <c r="L536" s="932"/>
    </row>
    <row r="537" spans="1:12" s="106" customFormat="1" ht="15.75" hidden="1" customHeight="1" outlineLevel="1">
      <c r="A537" s="932"/>
      <c r="B537" s="1087"/>
      <c r="C537" s="1096"/>
      <c r="D537" s="1092"/>
      <c r="E537" s="1092"/>
      <c r="F537" s="1094"/>
      <c r="G537" s="103"/>
      <c r="H537" s="101"/>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93"/>
      <c r="I538" s="1091"/>
      <c r="J538" s="1083"/>
      <c r="K538" s="1083"/>
      <c r="L538" s="932"/>
    </row>
    <row r="539" spans="1:12" s="106" customFormat="1" ht="15.75" hidden="1" customHeight="1" outlineLevel="1">
      <c r="A539" s="932"/>
      <c r="B539" s="1086"/>
      <c r="C539" s="1095"/>
      <c r="D539" s="1091"/>
      <c r="E539" s="1091"/>
      <c r="F539" s="1093"/>
      <c r="G539" s="98"/>
      <c r="H539" s="93"/>
      <c r="I539" s="1091"/>
      <c r="J539" s="1084"/>
      <c r="K539" s="1084"/>
      <c r="L539" s="932"/>
    </row>
    <row r="540" spans="1:12" s="106" customFormat="1" ht="15.75" hidden="1" customHeight="1" outlineLevel="1">
      <c r="A540" s="932"/>
      <c r="B540" s="1087"/>
      <c r="C540" s="1096"/>
      <c r="D540" s="1092"/>
      <c r="E540" s="1092"/>
      <c r="F540" s="1094"/>
      <c r="G540" s="103"/>
      <c r="H540" s="101"/>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93"/>
      <c r="I541" s="1091"/>
      <c r="J541" s="1083"/>
      <c r="K541" s="1083"/>
      <c r="L541" s="932"/>
    </row>
    <row r="542" spans="1:12" s="106" customFormat="1" ht="15.75" hidden="1" customHeight="1" outlineLevel="1">
      <c r="A542" s="932"/>
      <c r="B542" s="1086"/>
      <c r="C542" s="1095"/>
      <c r="D542" s="1091"/>
      <c r="E542" s="1091"/>
      <c r="F542" s="1093"/>
      <c r="G542" s="98"/>
      <c r="H542" s="93"/>
      <c r="I542" s="1091"/>
      <c r="J542" s="1084"/>
      <c r="K542" s="1084"/>
      <c r="L542" s="932"/>
    </row>
    <row r="543" spans="1:12" s="106" customFormat="1" ht="15.75" hidden="1" customHeight="1" outlineLevel="1">
      <c r="A543" s="932"/>
      <c r="B543" s="1087"/>
      <c r="C543" s="1096"/>
      <c r="D543" s="1092"/>
      <c r="E543" s="1092"/>
      <c r="F543" s="1094"/>
      <c r="G543" s="103"/>
      <c r="H543" s="101"/>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93"/>
      <c r="I544" s="1091"/>
      <c r="J544" s="1083"/>
      <c r="K544" s="1083"/>
      <c r="L544" s="932"/>
    </row>
    <row r="545" spans="1:12" s="106" customFormat="1" ht="15.75" hidden="1" customHeight="1" outlineLevel="1">
      <c r="A545" s="932"/>
      <c r="B545" s="1086"/>
      <c r="C545" s="1095"/>
      <c r="D545" s="1091"/>
      <c r="E545" s="1091"/>
      <c r="F545" s="1093"/>
      <c r="G545" s="98"/>
      <c r="H545" s="93"/>
      <c r="I545" s="1091"/>
      <c r="J545" s="1084"/>
      <c r="K545" s="1084"/>
      <c r="L545" s="932"/>
    </row>
    <row r="546" spans="1:12" s="106" customFormat="1" ht="15.75" hidden="1" customHeight="1" outlineLevel="1">
      <c r="A546" s="932"/>
      <c r="B546" s="1087"/>
      <c r="C546" s="1096"/>
      <c r="D546" s="1092"/>
      <c r="E546" s="1092"/>
      <c r="F546" s="1094"/>
      <c r="G546" s="103"/>
      <c r="H546" s="101"/>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93"/>
      <c r="I547" s="1091"/>
      <c r="J547" s="1083"/>
      <c r="K547" s="1083"/>
      <c r="L547" s="932"/>
    </row>
    <row r="548" spans="1:12" s="106" customFormat="1" ht="15.75" hidden="1" customHeight="1" outlineLevel="1">
      <c r="A548" s="932"/>
      <c r="B548" s="1086"/>
      <c r="C548" s="1095"/>
      <c r="D548" s="1091"/>
      <c r="E548" s="1091"/>
      <c r="F548" s="1093"/>
      <c r="G548" s="98"/>
      <c r="H548" s="93"/>
      <c r="I548" s="1091"/>
      <c r="J548" s="1084"/>
      <c r="K548" s="1084"/>
      <c r="L548" s="932"/>
    </row>
    <row r="549" spans="1:12" s="106" customFormat="1" ht="15.75" hidden="1" customHeight="1" outlineLevel="1">
      <c r="A549" s="932"/>
      <c r="B549" s="1087"/>
      <c r="C549" s="1096"/>
      <c r="D549" s="1092"/>
      <c r="E549" s="1092"/>
      <c r="F549" s="1094"/>
      <c r="G549" s="103"/>
      <c r="H549" s="101"/>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93"/>
      <c r="I550" s="1091"/>
      <c r="J550" s="1083"/>
      <c r="K550" s="1083"/>
      <c r="L550" s="932"/>
    </row>
    <row r="551" spans="1:12" s="106" customFormat="1" ht="15.75" hidden="1" customHeight="1" outlineLevel="1">
      <c r="A551" s="932"/>
      <c r="B551" s="1086"/>
      <c r="C551" s="1095"/>
      <c r="D551" s="1091"/>
      <c r="E551" s="1091"/>
      <c r="F551" s="1093"/>
      <c r="G551" s="98"/>
      <c r="H551" s="93"/>
      <c r="I551" s="1091"/>
      <c r="J551" s="1084"/>
      <c r="K551" s="1084"/>
      <c r="L551" s="932"/>
    </row>
    <row r="552" spans="1:12" s="106" customFormat="1" ht="15.75" hidden="1" customHeight="1" outlineLevel="1">
      <c r="A552" s="932"/>
      <c r="B552" s="1087"/>
      <c r="C552" s="1096"/>
      <c r="D552" s="1092"/>
      <c r="E552" s="1092"/>
      <c r="F552" s="1094"/>
      <c r="G552" s="103"/>
      <c r="H552" s="101"/>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93"/>
      <c r="I553" s="1091"/>
      <c r="J553" s="1083"/>
      <c r="K553" s="1083"/>
      <c r="L553" s="932"/>
    </row>
    <row r="554" spans="1:12" s="106" customFormat="1" ht="15.75" hidden="1" customHeight="1" outlineLevel="1">
      <c r="A554" s="932"/>
      <c r="B554" s="1086"/>
      <c r="C554" s="1095"/>
      <c r="D554" s="1091"/>
      <c r="E554" s="1091"/>
      <c r="F554" s="1093"/>
      <c r="G554" s="98"/>
      <c r="H554" s="93"/>
      <c r="I554" s="1091"/>
      <c r="J554" s="1084"/>
      <c r="K554" s="1084"/>
      <c r="L554" s="932"/>
    </row>
    <row r="555" spans="1:12" s="106" customFormat="1" ht="15.75" hidden="1" customHeight="1" outlineLevel="1">
      <c r="A555" s="932"/>
      <c r="B555" s="1087"/>
      <c r="C555" s="1096"/>
      <c r="D555" s="1092"/>
      <c r="E555" s="1092"/>
      <c r="F555" s="1094"/>
      <c r="G555" s="103"/>
      <c r="H555" s="101"/>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93"/>
      <c r="I556" s="1091"/>
      <c r="J556" s="1083"/>
      <c r="K556" s="1083"/>
      <c r="L556" s="932"/>
    </row>
    <row r="557" spans="1:12" s="106" customFormat="1" ht="15.75" hidden="1" customHeight="1" outlineLevel="1">
      <c r="A557" s="932"/>
      <c r="B557" s="1086"/>
      <c r="C557" s="1095"/>
      <c r="D557" s="1091"/>
      <c r="E557" s="1091"/>
      <c r="F557" s="1093"/>
      <c r="G557" s="98"/>
      <c r="H557" s="93"/>
      <c r="I557" s="1091"/>
      <c r="J557" s="1084"/>
      <c r="K557" s="1084"/>
      <c r="L557" s="932"/>
    </row>
    <row r="558" spans="1:12" s="106" customFormat="1" ht="15.75" hidden="1" customHeight="1" outlineLevel="1">
      <c r="A558" s="932"/>
      <c r="B558" s="1087"/>
      <c r="C558" s="1096"/>
      <c r="D558" s="1092"/>
      <c r="E558" s="1092"/>
      <c r="F558" s="1094"/>
      <c r="G558" s="103"/>
      <c r="H558" s="101"/>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93"/>
      <c r="I559" s="1091"/>
      <c r="J559" s="1083"/>
      <c r="K559" s="1083"/>
      <c r="L559" s="932"/>
    </row>
    <row r="560" spans="1:12" s="106" customFormat="1" ht="15.75" hidden="1" customHeight="1" outlineLevel="1">
      <c r="A560" s="932"/>
      <c r="B560" s="1086"/>
      <c r="C560" s="1095"/>
      <c r="D560" s="1091"/>
      <c r="E560" s="1091"/>
      <c r="F560" s="1093"/>
      <c r="G560" s="98"/>
      <c r="H560" s="93"/>
      <c r="I560" s="1091"/>
      <c r="J560" s="1084"/>
      <c r="K560" s="1084"/>
      <c r="L560" s="932"/>
    </row>
    <row r="561" spans="1:12" s="106" customFormat="1" ht="15.75" hidden="1" customHeight="1" outlineLevel="1">
      <c r="A561" s="932"/>
      <c r="B561" s="1087"/>
      <c r="C561" s="1096"/>
      <c r="D561" s="1092"/>
      <c r="E561" s="1092"/>
      <c r="F561" s="1094"/>
      <c r="G561" s="103"/>
      <c r="H561" s="101"/>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93"/>
      <c r="I562" s="1091"/>
      <c r="J562" s="1083"/>
      <c r="K562" s="1083"/>
      <c r="L562" s="932"/>
    </row>
    <row r="563" spans="1:12" s="106" customFormat="1" ht="15.75" hidden="1" customHeight="1" outlineLevel="1">
      <c r="A563" s="932"/>
      <c r="B563" s="1086"/>
      <c r="C563" s="1095"/>
      <c r="D563" s="1091"/>
      <c r="E563" s="1091"/>
      <c r="F563" s="1093"/>
      <c r="G563" s="98"/>
      <c r="H563" s="93"/>
      <c r="I563" s="1091"/>
      <c r="J563" s="1084"/>
      <c r="K563" s="1084"/>
      <c r="L563" s="932"/>
    </row>
    <row r="564" spans="1:12" s="106" customFormat="1" ht="15.75" hidden="1" customHeight="1" outlineLevel="1">
      <c r="A564" s="932"/>
      <c r="B564" s="1087"/>
      <c r="C564" s="1096"/>
      <c r="D564" s="1092"/>
      <c r="E564" s="1092"/>
      <c r="F564" s="1094"/>
      <c r="G564" s="103"/>
      <c r="H564" s="101"/>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93"/>
      <c r="I565" s="1091"/>
      <c r="J565" s="1083"/>
      <c r="K565" s="1083"/>
      <c r="L565" s="932"/>
    </row>
    <row r="566" spans="1:12" s="106" customFormat="1" ht="15.75" hidden="1" customHeight="1" outlineLevel="1">
      <c r="A566" s="932"/>
      <c r="B566" s="1086"/>
      <c r="C566" s="1095"/>
      <c r="D566" s="1091"/>
      <c r="E566" s="1091"/>
      <c r="F566" s="1093"/>
      <c r="G566" s="98"/>
      <c r="H566" s="93"/>
      <c r="I566" s="1091"/>
      <c r="J566" s="1084"/>
      <c r="K566" s="1084"/>
      <c r="L566" s="932"/>
    </row>
    <row r="567" spans="1:12" s="106" customFormat="1" ht="15.75" hidden="1" customHeight="1" outlineLevel="1">
      <c r="A567" s="932"/>
      <c r="B567" s="1087"/>
      <c r="C567" s="1096"/>
      <c r="D567" s="1092"/>
      <c r="E567" s="1092"/>
      <c r="F567" s="1094"/>
      <c r="G567" s="103"/>
      <c r="H567" s="101"/>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93"/>
      <c r="I568" s="1091"/>
      <c r="J568" s="1083"/>
      <c r="K568" s="1083"/>
      <c r="L568" s="932"/>
    </row>
    <row r="569" spans="1:12" s="106" customFormat="1" ht="15.75" hidden="1" customHeight="1" outlineLevel="1">
      <c r="A569" s="932"/>
      <c r="B569" s="1086"/>
      <c r="C569" s="1095"/>
      <c r="D569" s="1091"/>
      <c r="E569" s="1091"/>
      <c r="F569" s="1093"/>
      <c r="G569" s="98"/>
      <c r="H569" s="93"/>
      <c r="I569" s="1091"/>
      <c r="J569" s="1084"/>
      <c r="K569" s="1084"/>
      <c r="L569" s="932"/>
    </row>
    <row r="570" spans="1:12" s="106" customFormat="1" ht="15.75" hidden="1" customHeight="1" outlineLevel="1">
      <c r="A570" s="932"/>
      <c r="B570" s="1087"/>
      <c r="C570" s="1096"/>
      <c r="D570" s="1092"/>
      <c r="E570" s="1092"/>
      <c r="F570" s="1094"/>
      <c r="G570" s="103"/>
      <c r="H570" s="101"/>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93"/>
      <c r="I571" s="1091"/>
      <c r="J571" s="1083"/>
      <c r="K571" s="1083"/>
      <c r="L571" s="932"/>
    </row>
    <row r="572" spans="1:12" s="106" customFormat="1" ht="15.75" hidden="1" customHeight="1" outlineLevel="1">
      <c r="A572" s="932"/>
      <c r="B572" s="1086"/>
      <c r="C572" s="1095"/>
      <c r="D572" s="1091"/>
      <c r="E572" s="1091"/>
      <c r="F572" s="1093"/>
      <c r="G572" s="98"/>
      <c r="H572" s="93"/>
      <c r="I572" s="1091"/>
      <c r="J572" s="1084"/>
      <c r="K572" s="1084"/>
      <c r="L572" s="932"/>
    </row>
    <row r="573" spans="1:12" s="106" customFormat="1" ht="15.75" hidden="1" customHeight="1" outlineLevel="1">
      <c r="A573" s="932"/>
      <c r="B573" s="1087"/>
      <c r="C573" s="1096"/>
      <c r="D573" s="1092"/>
      <c r="E573" s="1092"/>
      <c r="F573" s="1094"/>
      <c r="G573" s="103"/>
      <c r="H573" s="101"/>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93"/>
      <c r="I574" s="1091"/>
      <c r="J574" s="1083"/>
      <c r="K574" s="1083"/>
      <c r="L574" s="932"/>
    </row>
    <row r="575" spans="1:12" s="106" customFormat="1" ht="15.75" hidden="1" customHeight="1" outlineLevel="1">
      <c r="A575" s="932"/>
      <c r="B575" s="1086"/>
      <c r="C575" s="1095"/>
      <c r="D575" s="1091"/>
      <c r="E575" s="1091"/>
      <c r="F575" s="1093"/>
      <c r="G575" s="98"/>
      <c r="H575" s="93"/>
      <c r="I575" s="1091"/>
      <c r="J575" s="1084"/>
      <c r="K575" s="1084"/>
      <c r="L575" s="932"/>
    </row>
    <row r="576" spans="1:12" s="106" customFormat="1" ht="15.75" hidden="1" customHeight="1" outlineLevel="1">
      <c r="A576" s="932"/>
      <c r="B576" s="1087"/>
      <c r="C576" s="1096"/>
      <c r="D576" s="1092"/>
      <c r="E576" s="1092"/>
      <c r="F576" s="1094"/>
      <c r="G576" s="103"/>
      <c r="H576" s="101"/>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93"/>
      <c r="I577" s="1091"/>
      <c r="J577" s="1083"/>
      <c r="K577" s="1083"/>
      <c r="L577" s="932"/>
    </row>
    <row r="578" spans="1:12" s="106" customFormat="1" ht="15.75" hidden="1" customHeight="1" outlineLevel="1">
      <c r="A578" s="932"/>
      <c r="B578" s="1086"/>
      <c r="C578" s="1095"/>
      <c r="D578" s="1091"/>
      <c r="E578" s="1091"/>
      <c r="F578" s="1093"/>
      <c r="G578" s="98"/>
      <c r="H578" s="93"/>
      <c r="I578" s="1091"/>
      <c r="J578" s="1084"/>
      <c r="K578" s="1084"/>
      <c r="L578" s="932"/>
    </row>
    <row r="579" spans="1:12" s="106" customFormat="1" ht="15.75" hidden="1" customHeight="1" outlineLevel="1">
      <c r="A579" s="932"/>
      <c r="B579" s="1087"/>
      <c r="C579" s="1096"/>
      <c r="D579" s="1092"/>
      <c r="E579" s="1092"/>
      <c r="F579" s="1094"/>
      <c r="G579" s="103"/>
      <c r="H579" s="101"/>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93"/>
      <c r="I580" s="1091"/>
      <c r="J580" s="1083"/>
      <c r="K580" s="1083"/>
      <c r="L580" s="932"/>
    </row>
    <row r="581" spans="1:12" s="106" customFormat="1" ht="15.75" hidden="1" customHeight="1" outlineLevel="1">
      <c r="A581" s="932"/>
      <c r="B581" s="1086"/>
      <c r="C581" s="1095"/>
      <c r="D581" s="1091"/>
      <c r="E581" s="1091"/>
      <c r="F581" s="1093"/>
      <c r="G581" s="98"/>
      <c r="H581" s="93"/>
      <c r="I581" s="1091"/>
      <c r="J581" s="1084"/>
      <c r="K581" s="1084"/>
      <c r="L581" s="932"/>
    </row>
    <row r="582" spans="1:12" s="106" customFormat="1" ht="15.75" hidden="1" customHeight="1" outlineLevel="1">
      <c r="A582" s="932"/>
      <c r="B582" s="1087"/>
      <c r="C582" s="1096"/>
      <c r="D582" s="1092"/>
      <c r="E582" s="1092"/>
      <c r="F582" s="1094"/>
      <c r="G582" s="103"/>
      <c r="H582" s="101"/>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93"/>
      <c r="I583" s="1091"/>
      <c r="J583" s="1083"/>
      <c r="K583" s="1083"/>
      <c r="L583" s="932"/>
    </row>
    <row r="584" spans="1:12" s="106" customFormat="1" ht="15.75" hidden="1" customHeight="1" outlineLevel="1">
      <c r="A584" s="932"/>
      <c r="B584" s="1086"/>
      <c r="C584" s="1095"/>
      <c r="D584" s="1091"/>
      <c r="E584" s="1091"/>
      <c r="F584" s="1093"/>
      <c r="G584" s="98"/>
      <c r="H584" s="93"/>
      <c r="I584" s="1091"/>
      <c r="J584" s="1084"/>
      <c r="K584" s="1084"/>
      <c r="L584" s="932"/>
    </row>
    <row r="585" spans="1:12" s="106" customFormat="1" ht="15.75" hidden="1" customHeight="1" outlineLevel="1">
      <c r="A585" s="932"/>
      <c r="B585" s="1087"/>
      <c r="C585" s="1096"/>
      <c r="D585" s="1092"/>
      <c r="E585" s="1092"/>
      <c r="F585" s="1094"/>
      <c r="G585" s="103"/>
      <c r="H585" s="101"/>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93"/>
      <c r="I586" s="1091"/>
      <c r="J586" s="1083"/>
      <c r="K586" s="1083"/>
      <c r="L586" s="932"/>
    </row>
    <row r="587" spans="1:12" s="106" customFormat="1" ht="15.75" hidden="1" customHeight="1" outlineLevel="1">
      <c r="A587" s="932"/>
      <c r="B587" s="1086"/>
      <c r="C587" s="1095"/>
      <c r="D587" s="1091"/>
      <c r="E587" s="1091"/>
      <c r="F587" s="1093"/>
      <c r="G587" s="98"/>
      <c r="H587" s="93"/>
      <c r="I587" s="1091"/>
      <c r="J587" s="1084"/>
      <c r="K587" s="1084"/>
      <c r="L587" s="932"/>
    </row>
    <row r="588" spans="1:12" s="106" customFormat="1" ht="15.75" hidden="1" customHeight="1" outlineLevel="1">
      <c r="A588" s="932"/>
      <c r="B588" s="1087"/>
      <c r="C588" s="1096"/>
      <c r="D588" s="1092"/>
      <c r="E588" s="1092"/>
      <c r="F588" s="1094"/>
      <c r="G588" s="103"/>
      <c r="H588" s="101"/>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93"/>
      <c r="I589" s="1091"/>
      <c r="J589" s="1083"/>
      <c r="K589" s="1083"/>
      <c r="L589" s="932"/>
    </row>
    <row r="590" spans="1:12" s="106" customFormat="1" ht="15.75" hidden="1" customHeight="1" outlineLevel="1">
      <c r="A590" s="932"/>
      <c r="B590" s="1086"/>
      <c r="C590" s="1095"/>
      <c r="D590" s="1091"/>
      <c r="E590" s="1091"/>
      <c r="F590" s="1093"/>
      <c r="G590" s="98"/>
      <c r="H590" s="93"/>
      <c r="I590" s="1091"/>
      <c r="J590" s="1084"/>
      <c r="K590" s="1084"/>
      <c r="L590" s="932"/>
    </row>
    <row r="591" spans="1:12" s="106" customFormat="1" ht="15.75" hidden="1" customHeight="1" outlineLevel="1">
      <c r="A591" s="932"/>
      <c r="B591" s="1087"/>
      <c r="C591" s="1096"/>
      <c r="D591" s="1092"/>
      <c r="E591" s="1092"/>
      <c r="F591" s="1094"/>
      <c r="G591" s="103"/>
      <c r="H591" s="101"/>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93"/>
      <c r="I592" s="1091"/>
      <c r="J592" s="1083"/>
      <c r="K592" s="1083"/>
      <c r="L592" s="932"/>
    </row>
    <row r="593" spans="1:12" s="106" customFormat="1" ht="15.75" hidden="1" customHeight="1" outlineLevel="1">
      <c r="A593" s="932"/>
      <c r="B593" s="1086"/>
      <c r="C593" s="1095"/>
      <c r="D593" s="1091"/>
      <c r="E593" s="1091"/>
      <c r="F593" s="1093"/>
      <c r="G593" s="98"/>
      <c r="H593" s="93"/>
      <c r="I593" s="1091"/>
      <c r="J593" s="1084"/>
      <c r="K593" s="1084"/>
      <c r="L593" s="932"/>
    </row>
    <row r="594" spans="1:12" s="106" customFormat="1" ht="15.75" hidden="1" customHeight="1" outlineLevel="1">
      <c r="A594" s="932"/>
      <c r="B594" s="1087"/>
      <c r="C594" s="1096"/>
      <c r="D594" s="1092"/>
      <c r="E594" s="1092"/>
      <c r="F594" s="1094"/>
      <c r="G594" s="103"/>
      <c r="H594" s="101"/>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93"/>
      <c r="I595" s="1091"/>
      <c r="J595" s="1083"/>
      <c r="K595" s="1083"/>
      <c r="L595" s="932"/>
    </row>
    <row r="596" spans="1:12" s="106" customFormat="1" ht="15.75" hidden="1" customHeight="1" outlineLevel="1">
      <c r="A596" s="932"/>
      <c r="B596" s="1086"/>
      <c r="C596" s="1095"/>
      <c r="D596" s="1091"/>
      <c r="E596" s="1091"/>
      <c r="F596" s="1093"/>
      <c r="G596" s="98"/>
      <c r="H596" s="93"/>
      <c r="I596" s="1091"/>
      <c r="J596" s="1084"/>
      <c r="K596" s="1084"/>
      <c r="L596" s="932"/>
    </row>
    <row r="597" spans="1:12" s="106" customFormat="1" ht="15.75" hidden="1" customHeight="1" outlineLevel="1">
      <c r="A597" s="932"/>
      <c r="B597" s="1087"/>
      <c r="C597" s="1096"/>
      <c r="D597" s="1092"/>
      <c r="E597" s="1092"/>
      <c r="F597" s="1094"/>
      <c r="G597" s="103"/>
      <c r="H597" s="101"/>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93"/>
      <c r="I598" s="1091"/>
      <c r="J598" s="1083"/>
      <c r="K598" s="1083"/>
      <c r="L598" s="932"/>
    </row>
    <row r="599" spans="1:12" s="106" customFormat="1" ht="15.75" hidden="1" customHeight="1" outlineLevel="1">
      <c r="A599" s="932"/>
      <c r="B599" s="1086"/>
      <c r="C599" s="1095"/>
      <c r="D599" s="1091"/>
      <c r="E599" s="1091"/>
      <c r="F599" s="1093"/>
      <c r="G599" s="98"/>
      <c r="H599" s="93"/>
      <c r="I599" s="1091"/>
      <c r="J599" s="1084"/>
      <c r="K599" s="1084"/>
      <c r="L599" s="932"/>
    </row>
    <row r="600" spans="1:12" s="106" customFormat="1" ht="15.75" hidden="1" customHeight="1" outlineLevel="1">
      <c r="A600" s="932"/>
      <c r="B600" s="1087"/>
      <c r="C600" s="1096"/>
      <c r="D600" s="1092"/>
      <c r="E600" s="1092"/>
      <c r="F600" s="1094"/>
      <c r="G600" s="103"/>
      <c r="H600" s="101"/>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93"/>
      <c r="I601" s="1091"/>
      <c r="J601" s="1083"/>
      <c r="K601" s="1083"/>
      <c r="L601" s="932"/>
    </row>
    <row r="602" spans="1:12" s="106" customFormat="1" ht="15.75" hidden="1" customHeight="1" outlineLevel="1">
      <c r="A602" s="932"/>
      <c r="B602" s="1086"/>
      <c r="C602" s="1095"/>
      <c r="D602" s="1091"/>
      <c r="E602" s="1091"/>
      <c r="F602" s="1093"/>
      <c r="G602" s="98"/>
      <c r="H602" s="93"/>
      <c r="I602" s="1091"/>
      <c r="J602" s="1084"/>
      <c r="K602" s="1084"/>
      <c r="L602" s="932"/>
    </row>
    <row r="603" spans="1:12" s="106" customFormat="1" ht="15.75" hidden="1" customHeight="1" outlineLevel="1">
      <c r="A603" s="932"/>
      <c r="B603" s="1087"/>
      <c r="C603" s="1096"/>
      <c r="D603" s="1092"/>
      <c r="E603" s="1092"/>
      <c r="F603" s="1094"/>
      <c r="G603" s="103"/>
      <c r="H603" s="101"/>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93"/>
      <c r="I604" s="1091"/>
      <c r="J604" s="1083"/>
      <c r="K604" s="1083"/>
      <c r="L604" s="932"/>
    </row>
    <row r="605" spans="1:12" s="106" customFormat="1" ht="15.75" hidden="1" customHeight="1" outlineLevel="1">
      <c r="A605" s="932"/>
      <c r="B605" s="1086"/>
      <c r="C605" s="1095"/>
      <c r="D605" s="1091"/>
      <c r="E605" s="1091"/>
      <c r="F605" s="1093"/>
      <c r="G605" s="98"/>
      <c r="H605" s="93"/>
      <c r="I605" s="1091"/>
      <c r="J605" s="1084"/>
      <c r="K605" s="1084"/>
      <c r="L605" s="932"/>
    </row>
    <row r="606" spans="1:12" s="106" customFormat="1" ht="15.75" hidden="1" customHeight="1" outlineLevel="1">
      <c r="A606" s="932"/>
      <c r="B606" s="1087"/>
      <c r="C606" s="1096"/>
      <c r="D606" s="1092"/>
      <c r="E606" s="1092"/>
      <c r="F606" s="1094"/>
      <c r="G606" s="103"/>
      <c r="H606" s="101"/>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93"/>
      <c r="I607" s="1091"/>
      <c r="J607" s="1083"/>
      <c r="K607" s="1083"/>
      <c r="L607" s="932"/>
    </row>
    <row r="608" spans="1:12" s="106" customFormat="1" ht="15.75" hidden="1" customHeight="1" outlineLevel="1">
      <c r="A608" s="932"/>
      <c r="B608" s="1086"/>
      <c r="C608" s="1095"/>
      <c r="D608" s="1091"/>
      <c r="E608" s="1091"/>
      <c r="F608" s="1093"/>
      <c r="G608" s="98"/>
      <c r="H608" s="93"/>
      <c r="I608" s="1091"/>
      <c r="J608" s="1084"/>
      <c r="K608" s="1084"/>
      <c r="L608" s="932"/>
    </row>
    <row r="609" spans="1:12" s="106" customFormat="1" ht="15.75" hidden="1" customHeight="1" outlineLevel="1">
      <c r="A609" s="932"/>
      <c r="B609" s="1087"/>
      <c r="C609" s="1096"/>
      <c r="D609" s="1092"/>
      <c r="E609" s="1092"/>
      <c r="F609" s="1094"/>
      <c r="G609" s="103"/>
      <c r="H609" s="101"/>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row>
    <row r="611" spans="1:12" s="106" customFormat="1" ht="15.75" hidden="1" customHeight="1" outlineLevel="1">
      <c r="A611" s="932"/>
      <c r="B611" s="1086"/>
      <c r="C611" s="1089"/>
      <c r="D611" s="1091"/>
      <c r="E611" s="1091"/>
      <c r="F611" s="1093"/>
      <c r="G611" s="98"/>
      <c r="H611" s="93"/>
      <c r="I611" s="1091"/>
      <c r="J611" s="1084"/>
      <c r="K611" s="1084"/>
      <c r="L611" s="932"/>
    </row>
    <row r="612" spans="1:12" s="106" customFormat="1" ht="15.75" hidden="1" customHeight="1" outlineLevel="1" thickBot="1">
      <c r="A612" s="932"/>
      <c r="B612" s="1087"/>
      <c r="C612" s="1090"/>
      <c r="D612" s="1092"/>
      <c r="E612" s="1092"/>
      <c r="F612" s="1094"/>
      <c r="G612" s="103"/>
      <c r="H612" s="101"/>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count="1">
    <dataValidation type="list" allowBlank="1" showInputMessage="1" showErrorMessage="1" sqref="E13:E612" xr:uid="{00000000-0002-0000-0F00-000000000000}">
      <formula1>$N$13:$N$17</formula1>
    </dataValidation>
  </dataValidations>
  <hyperlinks>
    <hyperlink ref="C1" location="Spis!B40" display="&gt;&gt; powrót do spisu treści" xr:uid="{00000000-0004-0000-0F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5.453125" style="81" customWidth="1"/>
    <col min="2" max="2" width="4.6328125" style="81" customWidth="1"/>
    <col min="3" max="3" width="32.36328125" style="81" customWidth="1"/>
    <col min="4" max="4" width="21.90625" style="110" customWidth="1"/>
    <col min="5" max="5" width="29.90625" style="106" customWidth="1"/>
    <col min="6" max="6" width="45.6328125" style="106" customWidth="1"/>
    <col min="7" max="7" width="46.6328125" style="111" customWidth="1"/>
    <col min="8" max="9" width="36.08984375" style="80" customWidth="1"/>
    <col min="10" max="10" width="17.81640625" style="81" customWidth="1"/>
    <col min="11" max="11" width="25.81640625" style="81" customWidth="1"/>
    <col min="12" max="12" width="10.81640625" style="81" customWidth="1"/>
    <col min="13" max="16" width="10.81640625"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260</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841"/>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839"/>
      <c r="I142" s="1091"/>
      <c r="J142" s="1083"/>
      <c r="K142" s="1083"/>
      <c r="L142" s="932"/>
    </row>
    <row r="143" spans="1:12" s="106" customFormat="1" ht="15.75" hidden="1" customHeight="1" outlineLevel="1">
      <c r="A143" s="932"/>
      <c r="B143" s="1086"/>
      <c r="C143" s="1095"/>
      <c r="D143" s="1091"/>
      <c r="E143" s="1091"/>
      <c r="F143" s="1093"/>
      <c r="G143" s="98"/>
      <c r="H143" s="839"/>
      <c r="I143" s="1091"/>
      <c r="J143" s="1084"/>
      <c r="K143" s="1084"/>
      <c r="L143" s="932"/>
    </row>
    <row r="144" spans="1:12" s="106" customFormat="1" ht="15.75" hidden="1" customHeight="1" outlineLevel="1">
      <c r="A144" s="932"/>
      <c r="B144" s="1087"/>
      <c r="C144" s="1096"/>
      <c r="D144" s="1092"/>
      <c r="E144" s="1092"/>
      <c r="F144" s="1094"/>
      <c r="G144" s="103"/>
      <c r="H144" s="840"/>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839"/>
      <c r="I145" s="1091"/>
      <c r="J145" s="1083"/>
      <c r="K145" s="1083"/>
      <c r="L145" s="932"/>
    </row>
    <row r="146" spans="1:12" s="106" customFormat="1" ht="15.75" hidden="1" customHeight="1" outlineLevel="1">
      <c r="A146" s="932"/>
      <c r="B146" s="1086"/>
      <c r="C146" s="1095"/>
      <c r="D146" s="1091"/>
      <c r="E146" s="1091"/>
      <c r="F146" s="1093"/>
      <c r="G146" s="98"/>
      <c r="H146" s="839"/>
      <c r="I146" s="1091"/>
      <c r="J146" s="1084"/>
      <c r="K146" s="1084"/>
      <c r="L146" s="932"/>
    </row>
    <row r="147" spans="1:12" s="106" customFormat="1" ht="15.75" hidden="1" customHeight="1" outlineLevel="1">
      <c r="A147" s="932"/>
      <c r="B147" s="1087"/>
      <c r="C147" s="1096"/>
      <c r="D147" s="1092"/>
      <c r="E147" s="1092"/>
      <c r="F147" s="1094"/>
      <c r="G147" s="103"/>
      <c r="H147" s="840"/>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839"/>
      <c r="I148" s="1091"/>
      <c r="J148" s="1083"/>
      <c r="K148" s="1083"/>
      <c r="L148" s="932"/>
    </row>
    <row r="149" spans="1:12" s="106" customFormat="1" ht="15.75" hidden="1" customHeight="1" outlineLevel="1">
      <c r="A149" s="932"/>
      <c r="B149" s="1086"/>
      <c r="C149" s="1095"/>
      <c r="D149" s="1091"/>
      <c r="E149" s="1091"/>
      <c r="F149" s="1093"/>
      <c r="G149" s="98"/>
      <c r="H149" s="839"/>
      <c r="I149" s="1091"/>
      <c r="J149" s="1084"/>
      <c r="K149" s="1084"/>
      <c r="L149" s="932"/>
    </row>
    <row r="150" spans="1:12" s="106" customFormat="1" ht="15.75" hidden="1" customHeight="1" outlineLevel="1">
      <c r="A150" s="932"/>
      <c r="B150" s="1087"/>
      <c r="C150" s="1096"/>
      <c r="D150" s="1092"/>
      <c r="E150" s="1092"/>
      <c r="F150" s="1094"/>
      <c r="G150" s="103"/>
      <c r="H150" s="840"/>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839"/>
      <c r="I151" s="1091"/>
      <c r="J151" s="1083"/>
      <c r="K151" s="1083"/>
      <c r="L151" s="932"/>
    </row>
    <row r="152" spans="1:12" s="106" customFormat="1" ht="15.75" hidden="1" customHeight="1" outlineLevel="1">
      <c r="A152" s="932"/>
      <c r="B152" s="1086"/>
      <c r="C152" s="1095"/>
      <c r="D152" s="1091"/>
      <c r="E152" s="1091"/>
      <c r="F152" s="1093"/>
      <c r="G152" s="98"/>
      <c r="H152" s="839"/>
      <c r="I152" s="1091"/>
      <c r="J152" s="1084"/>
      <c r="K152" s="1084"/>
      <c r="L152" s="932"/>
    </row>
    <row r="153" spans="1:12" s="106" customFormat="1" ht="15.75" hidden="1" customHeight="1" outlineLevel="1">
      <c r="A153" s="932"/>
      <c r="B153" s="1087"/>
      <c r="C153" s="1096"/>
      <c r="D153" s="1092"/>
      <c r="E153" s="1092"/>
      <c r="F153" s="1094"/>
      <c r="G153" s="103"/>
      <c r="H153" s="840"/>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839"/>
      <c r="I154" s="1091"/>
      <c r="J154" s="1083"/>
      <c r="K154" s="1083"/>
      <c r="L154" s="932"/>
    </row>
    <row r="155" spans="1:12" s="106" customFormat="1" ht="15.75" hidden="1" customHeight="1" outlineLevel="1">
      <c r="A155" s="932"/>
      <c r="B155" s="1086"/>
      <c r="C155" s="1095"/>
      <c r="D155" s="1091"/>
      <c r="E155" s="1091"/>
      <c r="F155" s="1093"/>
      <c r="G155" s="98"/>
      <c r="H155" s="839"/>
      <c r="I155" s="1091"/>
      <c r="J155" s="1084"/>
      <c r="K155" s="1084"/>
      <c r="L155" s="932"/>
    </row>
    <row r="156" spans="1:12" s="106" customFormat="1" ht="15.75" hidden="1" customHeight="1" outlineLevel="1">
      <c r="A156" s="932"/>
      <c r="B156" s="1087"/>
      <c r="C156" s="1096"/>
      <c r="D156" s="1092"/>
      <c r="E156" s="1092"/>
      <c r="F156" s="1094"/>
      <c r="G156" s="103"/>
      <c r="H156" s="840"/>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839"/>
      <c r="I157" s="1091"/>
      <c r="J157" s="1083"/>
      <c r="K157" s="1083"/>
      <c r="L157" s="932"/>
    </row>
    <row r="158" spans="1:12" s="106" customFormat="1" ht="15.75" hidden="1" customHeight="1" outlineLevel="1">
      <c r="A158" s="932"/>
      <c r="B158" s="1086"/>
      <c r="C158" s="1095"/>
      <c r="D158" s="1091"/>
      <c r="E158" s="1091"/>
      <c r="F158" s="1093"/>
      <c r="G158" s="98"/>
      <c r="H158" s="839"/>
      <c r="I158" s="1091"/>
      <c r="J158" s="1084"/>
      <c r="K158" s="1084"/>
      <c r="L158" s="932"/>
    </row>
    <row r="159" spans="1:12" s="106" customFormat="1" ht="15.75" hidden="1" customHeight="1" outlineLevel="1">
      <c r="A159" s="932"/>
      <c r="B159" s="1087"/>
      <c r="C159" s="1096"/>
      <c r="D159" s="1092"/>
      <c r="E159" s="1092"/>
      <c r="F159" s="1094"/>
      <c r="G159" s="103"/>
      <c r="H159" s="840"/>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839"/>
      <c r="I160" s="1091"/>
      <c r="J160" s="1083"/>
      <c r="K160" s="1083"/>
      <c r="L160" s="932"/>
    </row>
    <row r="161" spans="1:12" s="106" customFormat="1" ht="15.75" hidden="1" customHeight="1" outlineLevel="1">
      <c r="A161" s="932"/>
      <c r="B161" s="1086"/>
      <c r="C161" s="1095"/>
      <c r="D161" s="1091"/>
      <c r="E161" s="1091"/>
      <c r="F161" s="1093"/>
      <c r="G161" s="98"/>
      <c r="H161" s="839"/>
      <c r="I161" s="1091"/>
      <c r="J161" s="1084"/>
      <c r="K161" s="1084"/>
      <c r="L161" s="932"/>
    </row>
    <row r="162" spans="1:12" s="106" customFormat="1" ht="15.75" hidden="1" customHeight="1" outlineLevel="1">
      <c r="A162" s="932"/>
      <c r="B162" s="1087"/>
      <c r="C162" s="1096"/>
      <c r="D162" s="1092"/>
      <c r="E162" s="1092"/>
      <c r="F162" s="1094"/>
      <c r="G162" s="103"/>
      <c r="H162" s="840"/>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839"/>
      <c r="I163" s="1091"/>
      <c r="J163" s="1083"/>
      <c r="K163" s="1083"/>
      <c r="L163" s="932"/>
    </row>
    <row r="164" spans="1:12" s="106" customFormat="1" ht="15.75" hidden="1" customHeight="1" outlineLevel="1">
      <c r="A164" s="932"/>
      <c r="B164" s="1086"/>
      <c r="C164" s="1095"/>
      <c r="D164" s="1091"/>
      <c r="E164" s="1091"/>
      <c r="F164" s="1093"/>
      <c r="G164" s="98"/>
      <c r="H164" s="839"/>
      <c r="I164" s="1091"/>
      <c r="J164" s="1084"/>
      <c r="K164" s="1084"/>
      <c r="L164" s="932"/>
    </row>
    <row r="165" spans="1:12" s="106" customFormat="1" ht="15.75" hidden="1" customHeight="1" outlineLevel="1">
      <c r="A165" s="932"/>
      <c r="B165" s="1087"/>
      <c r="C165" s="1096"/>
      <c r="D165" s="1092"/>
      <c r="E165" s="1092"/>
      <c r="F165" s="1094"/>
      <c r="G165" s="103"/>
      <c r="H165" s="840"/>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839"/>
      <c r="I166" s="1091"/>
      <c r="J166" s="1083"/>
      <c r="K166" s="1083"/>
      <c r="L166" s="932"/>
    </row>
    <row r="167" spans="1:12" s="106" customFormat="1" ht="15.75" hidden="1" customHeight="1" outlineLevel="1">
      <c r="A167" s="932"/>
      <c r="B167" s="1086"/>
      <c r="C167" s="1095"/>
      <c r="D167" s="1091"/>
      <c r="E167" s="1091"/>
      <c r="F167" s="1093"/>
      <c r="G167" s="98"/>
      <c r="H167" s="839"/>
      <c r="I167" s="1091"/>
      <c r="J167" s="1084"/>
      <c r="K167" s="1084"/>
      <c r="L167" s="932"/>
    </row>
    <row r="168" spans="1:12" s="106" customFormat="1" ht="15.75" hidden="1" customHeight="1" outlineLevel="1">
      <c r="A168" s="932"/>
      <c r="B168" s="1087"/>
      <c r="C168" s="1096"/>
      <c r="D168" s="1092"/>
      <c r="E168" s="1092"/>
      <c r="F168" s="1094"/>
      <c r="G168" s="103"/>
      <c r="H168" s="840"/>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839"/>
      <c r="I169" s="1091"/>
      <c r="J169" s="1083"/>
      <c r="K169" s="1083"/>
      <c r="L169" s="932"/>
    </row>
    <row r="170" spans="1:12" s="106" customFormat="1" ht="15.75" hidden="1" customHeight="1" outlineLevel="1">
      <c r="A170" s="932"/>
      <c r="B170" s="1086"/>
      <c r="C170" s="1095"/>
      <c r="D170" s="1091"/>
      <c r="E170" s="1091"/>
      <c r="F170" s="1093"/>
      <c r="G170" s="98"/>
      <c r="H170" s="839"/>
      <c r="I170" s="1091"/>
      <c r="J170" s="1084"/>
      <c r="K170" s="1084"/>
      <c r="L170" s="932"/>
    </row>
    <row r="171" spans="1:12" s="106" customFormat="1" ht="15.75" hidden="1" customHeight="1" outlineLevel="1">
      <c r="A171" s="932"/>
      <c r="B171" s="1087"/>
      <c r="C171" s="1096"/>
      <c r="D171" s="1092"/>
      <c r="E171" s="1092"/>
      <c r="F171" s="1094"/>
      <c r="G171" s="103"/>
      <c r="H171" s="840"/>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839"/>
      <c r="I172" s="1091"/>
      <c r="J172" s="1083"/>
      <c r="K172" s="1083"/>
      <c r="L172" s="932"/>
    </row>
    <row r="173" spans="1:12" s="106" customFormat="1" ht="15.75" hidden="1" customHeight="1" outlineLevel="1">
      <c r="A173" s="932"/>
      <c r="B173" s="1086"/>
      <c r="C173" s="1095"/>
      <c r="D173" s="1091"/>
      <c r="E173" s="1091"/>
      <c r="F173" s="1093"/>
      <c r="G173" s="98"/>
      <c r="H173" s="839"/>
      <c r="I173" s="1091"/>
      <c r="J173" s="1084"/>
      <c r="K173" s="1084"/>
      <c r="L173" s="932"/>
    </row>
    <row r="174" spans="1:12" s="106" customFormat="1" ht="15.75" hidden="1" customHeight="1" outlineLevel="1">
      <c r="A174" s="932"/>
      <c r="B174" s="1087"/>
      <c r="C174" s="1096"/>
      <c r="D174" s="1092"/>
      <c r="E174" s="1092"/>
      <c r="F174" s="1094"/>
      <c r="G174" s="103"/>
      <c r="H174" s="840"/>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839"/>
      <c r="I175" s="1091"/>
      <c r="J175" s="1083"/>
      <c r="K175" s="1083"/>
      <c r="L175" s="932"/>
    </row>
    <row r="176" spans="1:12" s="106" customFormat="1" ht="15.75" hidden="1" customHeight="1" outlineLevel="1">
      <c r="A176" s="932"/>
      <c r="B176" s="1086"/>
      <c r="C176" s="1095"/>
      <c r="D176" s="1091"/>
      <c r="E176" s="1091"/>
      <c r="F176" s="1093"/>
      <c r="G176" s="98"/>
      <c r="H176" s="839"/>
      <c r="I176" s="1091"/>
      <c r="J176" s="1084"/>
      <c r="K176" s="1084"/>
      <c r="L176" s="932"/>
    </row>
    <row r="177" spans="1:12" s="106" customFormat="1" ht="15.75" hidden="1" customHeight="1" outlineLevel="1">
      <c r="A177" s="932"/>
      <c r="B177" s="1087"/>
      <c r="C177" s="1096"/>
      <c r="D177" s="1092"/>
      <c r="E177" s="1092"/>
      <c r="F177" s="1094"/>
      <c r="G177" s="103"/>
      <c r="H177" s="840"/>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839"/>
      <c r="I178" s="1091"/>
      <c r="J178" s="1083"/>
      <c r="K178" s="1083"/>
      <c r="L178" s="932"/>
    </row>
    <row r="179" spans="1:12" s="106" customFormat="1" ht="15.75" hidden="1" customHeight="1" outlineLevel="1">
      <c r="A179" s="932"/>
      <c r="B179" s="1086"/>
      <c r="C179" s="1095"/>
      <c r="D179" s="1091"/>
      <c r="E179" s="1091"/>
      <c r="F179" s="1093"/>
      <c r="G179" s="98"/>
      <c r="H179" s="839"/>
      <c r="I179" s="1091"/>
      <c r="J179" s="1084"/>
      <c r="K179" s="1084"/>
      <c r="L179" s="932"/>
    </row>
    <row r="180" spans="1:12" s="106" customFormat="1" ht="15.75" hidden="1" customHeight="1" outlineLevel="1">
      <c r="A180" s="932"/>
      <c r="B180" s="1087"/>
      <c r="C180" s="1096"/>
      <c r="D180" s="1092"/>
      <c r="E180" s="1092"/>
      <c r="F180" s="1094"/>
      <c r="G180" s="103"/>
      <c r="H180" s="840"/>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839"/>
      <c r="I181" s="1091"/>
      <c r="J181" s="1083"/>
      <c r="K181" s="1083"/>
      <c r="L181" s="932"/>
    </row>
    <row r="182" spans="1:12" s="106" customFormat="1" ht="15.75" hidden="1" customHeight="1" outlineLevel="1">
      <c r="A182" s="932"/>
      <c r="B182" s="1086"/>
      <c r="C182" s="1095"/>
      <c r="D182" s="1091"/>
      <c r="E182" s="1091"/>
      <c r="F182" s="1093"/>
      <c r="G182" s="98"/>
      <c r="H182" s="839"/>
      <c r="I182" s="1091"/>
      <c r="J182" s="1084"/>
      <c r="K182" s="1084"/>
      <c r="L182" s="932"/>
    </row>
    <row r="183" spans="1:12" s="106" customFormat="1" ht="15.75" hidden="1" customHeight="1" outlineLevel="1">
      <c r="A183" s="932"/>
      <c r="B183" s="1087"/>
      <c r="C183" s="1096"/>
      <c r="D183" s="1092"/>
      <c r="E183" s="1092"/>
      <c r="F183" s="1094"/>
      <c r="G183" s="103"/>
      <c r="H183" s="840"/>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839"/>
      <c r="I184" s="1091"/>
      <c r="J184" s="1083"/>
      <c r="K184" s="1083"/>
      <c r="L184" s="932"/>
    </row>
    <row r="185" spans="1:12" s="106" customFormat="1" ht="15.75" hidden="1" customHeight="1" outlineLevel="1">
      <c r="A185" s="932"/>
      <c r="B185" s="1086"/>
      <c r="C185" s="1095"/>
      <c r="D185" s="1091"/>
      <c r="E185" s="1091"/>
      <c r="F185" s="1093"/>
      <c r="G185" s="98"/>
      <c r="H185" s="839"/>
      <c r="I185" s="1091"/>
      <c r="J185" s="1084"/>
      <c r="K185" s="1084"/>
      <c r="L185" s="932"/>
    </row>
    <row r="186" spans="1:12" s="106" customFormat="1" ht="15.75" hidden="1" customHeight="1" outlineLevel="1">
      <c r="A186" s="932"/>
      <c r="B186" s="1087"/>
      <c r="C186" s="1096"/>
      <c r="D186" s="1092"/>
      <c r="E186" s="1092"/>
      <c r="F186" s="1094"/>
      <c r="G186" s="103"/>
      <c r="H186" s="840"/>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839"/>
      <c r="I187" s="1091"/>
      <c r="J187" s="1083"/>
      <c r="K187" s="1083"/>
      <c r="L187" s="932"/>
    </row>
    <row r="188" spans="1:12" s="106" customFormat="1" ht="15.75" hidden="1" customHeight="1" outlineLevel="1">
      <c r="A188" s="932"/>
      <c r="B188" s="1086"/>
      <c r="C188" s="1095"/>
      <c r="D188" s="1091"/>
      <c r="E188" s="1091"/>
      <c r="F188" s="1093"/>
      <c r="G188" s="98"/>
      <c r="H188" s="839"/>
      <c r="I188" s="1091"/>
      <c r="J188" s="1084"/>
      <c r="K188" s="1084"/>
      <c r="L188" s="932"/>
    </row>
    <row r="189" spans="1:12" s="106" customFormat="1" ht="15.75" hidden="1" customHeight="1" outlineLevel="1">
      <c r="A189" s="932"/>
      <c r="B189" s="1087"/>
      <c r="C189" s="1096"/>
      <c r="D189" s="1092"/>
      <c r="E189" s="1092"/>
      <c r="F189" s="1094"/>
      <c r="G189" s="103"/>
      <c r="H189" s="840"/>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839"/>
      <c r="I190" s="1091"/>
      <c r="J190" s="1083"/>
      <c r="K190" s="1083"/>
      <c r="L190" s="932"/>
    </row>
    <row r="191" spans="1:12" s="106" customFormat="1" ht="15.75" hidden="1" customHeight="1" outlineLevel="1">
      <c r="A191" s="932"/>
      <c r="B191" s="1086"/>
      <c r="C191" s="1095"/>
      <c r="D191" s="1091"/>
      <c r="E191" s="1091"/>
      <c r="F191" s="1093"/>
      <c r="G191" s="98"/>
      <c r="H191" s="839"/>
      <c r="I191" s="1091"/>
      <c r="J191" s="1084"/>
      <c r="K191" s="1084"/>
      <c r="L191" s="932"/>
    </row>
    <row r="192" spans="1:12" s="106" customFormat="1" ht="15.75" hidden="1" customHeight="1" outlineLevel="1">
      <c r="A192" s="932"/>
      <c r="B192" s="1087"/>
      <c r="C192" s="1096"/>
      <c r="D192" s="1092"/>
      <c r="E192" s="1092"/>
      <c r="F192" s="1094"/>
      <c r="G192" s="103"/>
      <c r="H192" s="840"/>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839"/>
      <c r="I193" s="1091"/>
      <c r="J193" s="1083"/>
      <c r="K193" s="1083"/>
      <c r="L193" s="932"/>
    </row>
    <row r="194" spans="1:12" s="106" customFormat="1" ht="15.75" hidden="1" customHeight="1" outlineLevel="1">
      <c r="A194" s="932"/>
      <c r="B194" s="1086"/>
      <c r="C194" s="1095"/>
      <c r="D194" s="1091"/>
      <c r="E194" s="1091"/>
      <c r="F194" s="1093"/>
      <c r="G194" s="98"/>
      <c r="H194" s="839"/>
      <c r="I194" s="1091"/>
      <c r="J194" s="1084"/>
      <c r="K194" s="1084"/>
      <c r="L194" s="932"/>
    </row>
    <row r="195" spans="1:12" s="106" customFormat="1" ht="15.75" hidden="1" customHeight="1" outlineLevel="1">
      <c r="A195" s="932"/>
      <c r="B195" s="1087"/>
      <c r="C195" s="1096"/>
      <c r="D195" s="1092"/>
      <c r="E195" s="1092"/>
      <c r="F195" s="1094"/>
      <c r="G195" s="103"/>
      <c r="H195" s="840"/>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839"/>
      <c r="I196" s="1091"/>
      <c r="J196" s="1083"/>
      <c r="K196" s="1083"/>
      <c r="L196" s="932"/>
    </row>
    <row r="197" spans="1:12" s="106" customFormat="1" ht="15.75" hidden="1" customHeight="1" outlineLevel="1">
      <c r="A197" s="932"/>
      <c r="B197" s="1086"/>
      <c r="C197" s="1095"/>
      <c r="D197" s="1091"/>
      <c r="E197" s="1091"/>
      <c r="F197" s="1093"/>
      <c r="G197" s="98"/>
      <c r="H197" s="839"/>
      <c r="I197" s="1091"/>
      <c r="J197" s="1084"/>
      <c r="K197" s="1084"/>
      <c r="L197" s="932"/>
    </row>
    <row r="198" spans="1:12" s="106" customFormat="1" ht="15.75" hidden="1" customHeight="1" outlineLevel="1">
      <c r="A198" s="932"/>
      <c r="B198" s="1087"/>
      <c r="C198" s="1096"/>
      <c r="D198" s="1092"/>
      <c r="E198" s="1092"/>
      <c r="F198" s="1094"/>
      <c r="G198" s="103"/>
      <c r="H198" s="840"/>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839"/>
      <c r="I199" s="1091"/>
      <c r="J199" s="1083"/>
      <c r="K199" s="1083"/>
      <c r="L199" s="932"/>
    </row>
    <row r="200" spans="1:12" s="106" customFormat="1" ht="15.75" hidden="1" customHeight="1" outlineLevel="1">
      <c r="A200" s="932"/>
      <c r="B200" s="1086"/>
      <c r="C200" s="1095"/>
      <c r="D200" s="1091"/>
      <c r="E200" s="1091"/>
      <c r="F200" s="1093"/>
      <c r="G200" s="98"/>
      <c r="H200" s="839"/>
      <c r="I200" s="1091"/>
      <c r="J200" s="1084"/>
      <c r="K200" s="1084"/>
      <c r="L200" s="932"/>
    </row>
    <row r="201" spans="1:12" s="106" customFormat="1" ht="15.75" hidden="1" customHeight="1" outlineLevel="1">
      <c r="A201" s="932"/>
      <c r="B201" s="1087"/>
      <c r="C201" s="1096"/>
      <c r="D201" s="1092"/>
      <c r="E201" s="1092"/>
      <c r="F201" s="1094"/>
      <c r="G201" s="103"/>
      <c r="H201" s="840"/>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839"/>
      <c r="I202" s="1091"/>
      <c r="J202" s="1083"/>
      <c r="K202" s="1083"/>
      <c r="L202" s="932"/>
    </row>
    <row r="203" spans="1:12" s="106" customFormat="1" ht="15.75" hidden="1" customHeight="1" outlineLevel="1">
      <c r="A203" s="932"/>
      <c r="B203" s="1086"/>
      <c r="C203" s="1095"/>
      <c r="D203" s="1091"/>
      <c r="E203" s="1091"/>
      <c r="F203" s="1093"/>
      <c r="G203" s="98"/>
      <c r="H203" s="839"/>
      <c r="I203" s="1091"/>
      <c r="J203" s="1084"/>
      <c r="K203" s="1084"/>
      <c r="L203" s="932"/>
    </row>
    <row r="204" spans="1:12" s="106" customFormat="1" ht="15.75" hidden="1" customHeight="1" outlineLevel="1">
      <c r="A204" s="932"/>
      <c r="B204" s="1087"/>
      <c r="C204" s="1096"/>
      <c r="D204" s="1092"/>
      <c r="E204" s="1092"/>
      <c r="F204" s="1094"/>
      <c r="G204" s="103"/>
      <c r="H204" s="840"/>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839"/>
      <c r="I205" s="1091"/>
      <c r="J205" s="1083"/>
      <c r="K205" s="1083"/>
      <c r="L205" s="932"/>
    </row>
    <row r="206" spans="1:12" s="106" customFormat="1" ht="15.75" hidden="1" customHeight="1" outlineLevel="1">
      <c r="A206" s="932"/>
      <c r="B206" s="1086"/>
      <c r="C206" s="1095"/>
      <c r="D206" s="1091"/>
      <c r="E206" s="1091"/>
      <c r="F206" s="1093"/>
      <c r="G206" s="98"/>
      <c r="H206" s="839"/>
      <c r="I206" s="1091"/>
      <c r="J206" s="1084"/>
      <c r="K206" s="1084"/>
      <c r="L206" s="932"/>
    </row>
    <row r="207" spans="1:12" s="106" customFormat="1" ht="15.75" hidden="1" customHeight="1" outlineLevel="1">
      <c r="A207" s="932"/>
      <c r="B207" s="1087"/>
      <c r="C207" s="1096"/>
      <c r="D207" s="1092"/>
      <c r="E207" s="1092"/>
      <c r="F207" s="1094"/>
      <c r="G207" s="103"/>
      <c r="H207" s="840"/>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839"/>
      <c r="I208" s="1091"/>
      <c r="J208" s="1083"/>
      <c r="K208" s="1083"/>
      <c r="L208" s="932"/>
    </row>
    <row r="209" spans="1:12" s="106" customFormat="1" ht="15.75" hidden="1" customHeight="1" outlineLevel="1">
      <c r="A209" s="932"/>
      <c r="B209" s="1086"/>
      <c r="C209" s="1095"/>
      <c r="D209" s="1091"/>
      <c r="E209" s="1091"/>
      <c r="F209" s="1093"/>
      <c r="G209" s="98"/>
      <c r="H209" s="839"/>
      <c r="I209" s="1091"/>
      <c r="J209" s="1084"/>
      <c r="K209" s="1084"/>
      <c r="L209" s="932"/>
    </row>
    <row r="210" spans="1:12" s="106" customFormat="1" ht="15.75" hidden="1" customHeight="1" outlineLevel="1">
      <c r="A210" s="932"/>
      <c r="B210" s="1087"/>
      <c r="C210" s="1096"/>
      <c r="D210" s="1092"/>
      <c r="E210" s="1092"/>
      <c r="F210" s="1094"/>
      <c r="G210" s="103"/>
      <c r="H210" s="840"/>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839"/>
      <c r="I211" s="1091"/>
      <c r="J211" s="1083"/>
      <c r="K211" s="1083"/>
      <c r="L211" s="932"/>
    </row>
    <row r="212" spans="1:12" s="106" customFormat="1" ht="15.75" hidden="1" customHeight="1" outlineLevel="1">
      <c r="A212" s="932"/>
      <c r="B212" s="1086"/>
      <c r="C212" s="1095"/>
      <c r="D212" s="1091"/>
      <c r="E212" s="1091"/>
      <c r="F212" s="1093"/>
      <c r="G212" s="98"/>
      <c r="H212" s="839"/>
      <c r="I212" s="1091"/>
      <c r="J212" s="1084"/>
      <c r="K212" s="1084"/>
      <c r="L212" s="932"/>
    </row>
    <row r="213" spans="1:12" s="106" customFormat="1" ht="15.75" hidden="1" customHeight="1" outlineLevel="1">
      <c r="A213" s="932"/>
      <c r="B213" s="1087"/>
      <c r="C213" s="1096"/>
      <c r="D213" s="1092"/>
      <c r="E213" s="1092"/>
      <c r="F213" s="1094"/>
      <c r="G213" s="103"/>
      <c r="H213" s="840"/>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839"/>
      <c r="I214" s="1091"/>
      <c r="J214" s="1083"/>
      <c r="K214" s="1083"/>
      <c r="L214" s="932"/>
    </row>
    <row r="215" spans="1:12" s="106" customFormat="1" ht="15.75" hidden="1" customHeight="1" outlineLevel="1">
      <c r="A215" s="932"/>
      <c r="B215" s="1086"/>
      <c r="C215" s="1095"/>
      <c r="D215" s="1091"/>
      <c r="E215" s="1091"/>
      <c r="F215" s="1093"/>
      <c r="G215" s="98"/>
      <c r="H215" s="839"/>
      <c r="I215" s="1091"/>
      <c r="J215" s="1084"/>
      <c r="K215" s="1084"/>
      <c r="L215" s="932"/>
    </row>
    <row r="216" spans="1:12" s="106" customFormat="1" ht="15.75" hidden="1" customHeight="1" outlineLevel="1">
      <c r="A216" s="932"/>
      <c r="B216" s="1087"/>
      <c r="C216" s="1096"/>
      <c r="D216" s="1092"/>
      <c r="E216" s="1092"/>
      <c r="F216" s="1094"/>
      <c r="G216" s="103"/>
      <c r="H216" s="840"/>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839"/>
      <c r="I217" s="1091"/>
      <c r="J217" s="1083"/>
      <c r="K217" s="1083"/>
      <c r="L217" s="932"/>
    </row>
    <row r="218" spans="1:12" s="106" customFormat="1" ht="15.75" hidden="1" customHeight="1" outlineLevel="1">
      <c r="A218" s="932"/>
      <c r="B218" s="1086"/>
      <c r="C218" s="1095"/>
      <c r="D218" s="1091"/>
      <c r="E218" s="1091"/>
      <c r="F218" s="1093"/>
      <c r="G218" s="98"/>
      <c r="H218" s="839"/>
      <c r="I218" s="1091"/>
      <c r="J218" s="1084"/>
      <c r="K218" s="1084"/>
      <c r="L218" s="932"/>
    </row>
    <row r="219" spans="1:12" s="106" customFormat="1" ht="15.75" hidden="1" customHeight="1" outlineLevel="1">
      <c r="A219" s="932"/>
      <c r="B219" s="1087"/>
      <c r="C219" s="1096"/>
      <c r="D219" s="1092"/>
      <c r="E219" s="1092"/>
      <c r="F219" s="1094"/>
      <c r="G219" s="103"/>
      <c r="H219" s="840"/>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839"/>
      <c r="I220" s="1091"/>
      <c r="J220" s="1083"/>
      <c r="K220" s="1083"/>
      <c r="L220" s="932"/>
    </row>
    <row r="221" spans="1:12" s="106" customFormat="1" ht="15.75" hidden="1" customHeight="1" outlineLevel="1">
      <c r="A221" s="932"/>
      <c r="B221" s="1086"/>
      <c r="C221" s="1095"/>
      <c r="D221" s="1091"/>
      <c r="E221" s="1091"/>
      <c r="F221" s="1093"/>
      <c r="G221" s="98"/>
      <c r="H221" s="839"/>
      <c r="I221" s="1091"/>
      <c r="J221" s="1084"/>
      <c r="K221" s="1084"/>
      <c r="L221" s="932"/>
    </row>
    <row r="222" spans="1:12" s="106" customFormat="1" ht="15.75" hidden="1" customHeight="1" outlineLevel="1">
      <c r="A222" s="932"/>
      <c r="B222" s="1087"/>
      <c r="C222" s="1096"/>
      <c r="D222" s="1092"/>
      <c r="E222" s="1092"/>
      <c r="F222" s="1094"/>
      <c r="G222" s="103"/>
      <c r="H222" s="840"/>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839"/>
      <c r="I223" s="1091"/>
      <c r="J223" s="1083"/>
      <c r="K223" s="1083"/>
      <c r="L223" s="932"/>
    </row>
    <row r="224" spans="1:12" s="106" customFormat="1" ht="15.75" hidden="1" customHeight="1" outlineLevel="1">
      <c r="A224" s="932"/>
      <c r="B224" s="1086"/>
      <c r="C224" s="1095"/>
      <c r="D224" s="1091"/>
      <c r="E224" s="1091"/>
      <c r="F224" s="1093"/>
      <c r="G224" s="98"/>
      <c r="H224" s="839"/>
      <c r="I224" s="1091"/>
      <c r="J224" s="1084"/>
      <c r="K224" s="1084"/>
      <c r="L224" s="932"/>
    </row>
    <row r="225" spans="1:12" s="106" customFormat="1" ht="15.75" hidden="1" customHeight="1" outlineLevel="1">
      <c r="A225" s="932"/>
      <c r="B225" s="1087"/>
      <c r="C225" s="1096"/>
      <c r="D225" s="1092"/>
      <c r="E225" s="1092"/>
      <c r="F225" s="1094"/>
      <c r="G225" s="103"/>
      <c r="H225" s="840"/>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839"/>
      <c r="I226" s="1091"/>
      <c r="J226" s="1083"/>
      <c r="K226" s="1083"/>
      <c r="L226" s="932"/>
    </row>
    <row r="227" spans="1:12" s="106" customFormat="1" ht="15.75" hidden="1" customHeight="1" outlineLevel="1">
      <c r="A227" s="932"/>
      <c r="B227" s="1086"/>
      <c r="C227" s="1095"/>
      <c r="D227" s="1091"/>
      <c r="E227" s="1091"/>
      <c r="F227" s="1093"/>
      <c r="G227" s="98"/>
      <c r="H227" s="839"/>
      <c r="I227" s="1091"/>
      <c r="J227" s="1084"/>
      <c r="K227" s="1084"/>
      <c r="L227" s="932"/>
    </row>
    <row r="228" spans="1:12" s="106" customFormat="1" ht="15.75" hidden="1" customHeight="1" outlineLevel="1">
      <c r="A228" s="932"/>
      <c r="B228" s="1087"/>
      <c r="C228" s="1096"/>
      <c r="D228" s="1092"/>
      <c r="E228" s="1092"/>
      <c r="F228" s="1094"/>
      <c r="G228" s="103"/>
      <c r="H228" s="840"/>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839"/>
      <c r="I229" s="1091"/>
      <c r="J229" s="1083"/>
      <c r="K229" s="1083"/>
      <c r="L229" s="932"/>
    </row>
    <row r="230" spans="1:12" s="106" customFormat="1" ht="15.75" hidden="1" customHeight="1" outlineLevel="1">
      <c r="A230" s="932"/>
      <c r="B230" s="1086"/>
      <c r="C230" s="1095"/>
      <c r="D230" s="1091"/>
      <c r="E230" s="1091"/>
      <c r="F230" s="1093"/>
      <c r="G230" s="98"/>
      <c r="H230" s="839"/>
      <c r="I230" s="1091"/>
      <c r="J230" s="1084"/>
      <c r="K230" s="1084"/>
      <c r="L230" s="932"/>
    </row>
    <row r="231" spans="1:12" s="106" customFormat="1" ht="15.75" hidden="1" customHeight="1" outlineLevel="1">
      <c r="A231" s="932"/>
      <c r="B231" s="1087"/>
      <c r="C231" s="1096"/>
      <c r="D231" s="1092"/>
      <c r="E231" s="1092"/>
      <c r="F231" s="1094"/>
      <c r="G231" s="103"/>
      <c r="H231" s="840"/>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839"/>
      <c r="I232" s="1091"/>
      <c r="J232" s="1083"/>
      <c r="K232" s="1083"/>
      <c r="L232" s="932"/>
    </row>
    <row r="233" spans="1:12" s="106" customFormat="1" ht="15.75" hidden="1" customHeight="1" outlineLevel="1">
      <c r="A233" s="932"/>
      <c r="B233" s="1086"/>
      <c r="C233" s="1095"/>
      <c r="D233" s="1091"/>
      <c r="E233" s="1091"/>
      <c r="F233" s="1093"/>
      <c r="G233" s="98"/>
      <c r="H233" s="839"/>
      <c r="I233" s="1091"/>
      <c r="J233" s="1084"/>
      <c r="K233" s="1084"/>
      <c r="L233" s="932"/>
    </row>
    <row r="234" spans="1:12" s="106" customFormat="1" ht="15.75" hidden="1" customHeight="1" outlineLevel="1">
      <c r="A234" s="932"/>
      <c r="B234" s="1087"/>
      <c r="C234" s="1096"/>
      <c r="D234" s="1092"/>
      <c r="E234" s="1092"/>
      <c r="F234" s="1094"/>
      <c r="G234" s="103"/>
      <c r="H234" s="840"/>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839"/>
      <c r="I235" s="1091"/>
      <c r="J235" s="1083"/>
      <c r="K235" s="1083"/>
      <c r="L235" s="932"/>
    </row>
    <row r="236" spans="1:12" s="106" customFormat="1" ht="15.75" hidden="1" customHeight="1" outlineLevel="1">
      <c r="A236" s="932"/>
      <c r="B236" s="1086"/>
      <c r="C236" s="1095"/>
      <c r="D236" s="1091"/>
      <c r="E236" s="1091"/>
      <c r="F236" s="1093"/>
      <c r="G236" s="98"/>
      <c r="H236" s="839"/>
      <c r="I236" s="1091"/>
      <c r="J236" s="1084"/>
      <c r="K236" s="1084"/>
      <c r="L236" s="932"/>
    </row>
    <row r="237" spans="1:12" s="106" customFormat="1" ht="15.75" hidden="1" customHeight="1" outlineLevel="1">
      <c r="A237" s="932"/>
      <c r="B237" s="1087"/>
      <c r="C237" s="1096"/>
      <c r="D237" s="1092"/>
      <c r="E237" s="1092"/>
      <c r="F237" s="1094"/>
      <c r="G237" s="103"/>
      <c r="H237" s="840"/>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839"/>
      <c r="I238" s="1091"/>
      <c r="J238" s="1083"/>
      <c r="K238" s="1083"/>
      <c r="L238" s="932"/>
    </row>
    <row r="239" spans="1:12" s="106" customFormat="1" ht="15.75" hidden="1" customHeight="1" outlineLevel="1">
      <c r="A239" s="932"/>
      <c r="B239" s="1086"/>
      <c r="C239" s="1095"/>
      <c r="D239" s="1091"/>
      <c r="E239" s="1091"/>
      <c r="F239" s="1093"/>
      <c r="G239" s="98"/>
      <c r="H239" s="839"/>
      <c r="I239" s="1091"/>
      <c r="J239" s="1084"/>
      <c r="K239" s="1084"/>
      <c r="L239" s="932"/>
    </row>
    <row r="240" spans="1:12" s="106" customFormat="1" ht="15.75" hidden="1" customHeight="1" outlineLevel="1">
      <c r="A240" s="932"/>
      <c r="B240" s="1087"/>
      <c r="C240" s="1096"/>
      <c r="D240" s="1092"/>
      <c r="E240" s="1092"/>
      <c r="F240" s="1094"/>
      <c r="G240" s="103"/>
      <c r="H240" s="840"/>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839"/>
      <c r="I241" s="1091"/>
      <c r="J241" s="1083"/>
      <c r="K241" s="1083"/>
      <c r="L241" s="932"/>
    </row>
    <row r="242" spans="1:12" s="106" customFormat="1" ht="15.75" hidden="1" customHeight="1" outlineLevel="1">
      <c r="A242" s="932"/>
      <c r="B242" s="1086"/>
      <c r="C242" s="1095"/>
      <c r="D242" s="1091"/>
      <c r="E242" s="1091"/>
      <c r="F242" s="1093"/>
      <c r="G242" s="98"/>
      <c r="H242" s="839"/>
      <c r="I242" s="1091"/>
      <c r="J242" s="1084"/>
      <c r="K242" s="1084"/>
      <c r="L242" s="932"/>
    </row>
    <row r="243" spans="1:12" s="106" customFormat="1" ht="15.75" hidden="1" customHeight="1" outlineLevel="1">
      <c r="A243" s="932"/>
      <c r="B243" s="1087"/>
      <c r="C243" s="1096"/>
      <c r="D243" s="1092"/>
      <c r="E243" s="1092"/>
      <c r="F243" s="1094"/>
      <c r="G243" s="103"/>
      <c r="H243" s="840"/>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839"/>
      <c r="I244" s="1091"/>
      <c r="J244" s="1083"/>
      <c r="K244" s="1083"/>
      <c r="L244" s="932"/>
    </row>
    <row r="245" spans="1:12" s="106" customFormat="1" ht="15.75" hidden="1" customHeight="1" outlineLevel="1">
      <c r="A245" s="932"/>
      <c r="B245" s="1086"/>
      <c r="C245" s="1095"/>
      <c r="D245" s="1091"/>
      <c r="E245" s="1091"/>
      <c r="F245" s="1093"/>
      <c r="G245" s="98"/>
      <c r="H245" s="839"/>
      <c r="I245" s="1091"/>
      <c r="J245" s="1084"/>
      <c r="K245" s="1084"/>
      <c r="L245" s="932"/>
    </row>
    <row r="246" spans="1:12" s="106" customFormat="1" ht="15.75" hidden="1" customHeight="1" outlineLevel="1">
      <c r="A246" s="932"/>
      <c r="B246" s="1087"/>
      <c r="C246" s="1096"/>
      <c r="D246" s="1092"/>
      <c r="E246" s="1092"/>
      <c r="F246" s="1094"/>
      <c r="G246" s="103"/>
      <c r="H246" s="840"/>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839"/>
      <c r="I247" s="1091"/>
      <c r="J247" s="1083"/>
      <c r="K247" s="1083"/>
      <c r="L247" s="932"/>
    </row>
    <row r="248" spans="1:12" s="106" customFormat="1" ht="15.75" hidden="1" customHeight="1" outlineLevel="1">
      <c r="A248" s="932"/>
      <c r="B248" s="1086"/>
      <c r="C248" s="1095"/>
      <c r="D248" s="1091"/>
      <c r="E248" s="1091"/>
      <c r="F248" s="1093"/>
      <c r="G248" s="98"/>
      <c r="H248" s="839"/>
      <c r="I248" s="1091"/>
      <c r="J248" s="1084"/>
      <c r="K248" s="1084"/>
      <c r="L248" s="932"/>
    </row>
    <row r="249" spans="1:12" s="106" customFormat="1" ht="15.75" hidden="1" customHeight="1" outlineLevel="1">
      <c r="A249" s="932"/>
      <c r="B249" s="1087"/>
      <c r="C249" s="1096"/>
      <c r="D249" s="1092"/>
      <c r="E249" s="1092"/>
      <c r="F249" s="1094"/>
      <c r="G249" s="103"/>
      <c r="H249" s="840"/>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839"/>
      <c r="I250" s="1091"/>
      <c r="J250" s="1083"/>
      <c r="K250" s="1083"/>
      <c r="L250" s="932"/>
    </row>
    <row r="251" spans="1:12" s="106" customFormat="1" ht="15.75" hidden="1" customHeight="1" outlineLevel="1">
      <c r="A251" s="932"/>
      <c r="B251" s="1086"/>
      <c r="C251" s="1095"/>
      <c r="D251" s="1091"/>
      <c r="E251" s="1091"/>
      <c r="F251" s="1093"/>
      <c r="G251" s="98"/>
      <c r="H251" s="839"/>
      <c r="I251" s="1091"/>
      <c r="J251" s="1084"/>
      <c r="K251" s="1084"/>
      <c r="L251" s="932"/>
    </row>
    <row r="252" spans="1:12" s="106" customFormat="1" ht="15.75" hidden="1" customHeight="1" outlineLevel="1">
      <c r="A252" s="932"/>
      <c r="B252" s="1087"/>
      <c r="C252" s="1096"/>
      <c r="D252" s="1092"/>
      <c r="E252" s="1092"/>
      <c r="F252" s="1094"/>
      <c r="G252" s="103"/>
      <c r="H252" s="840"/>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839"/>
      <c r="I253" s="1091"/>
      <c r="J253" s="1083"/>
      <c r="K253" s="1083"/>
      <c r="L253" s="932"/>
    </row>
    <row r="254" spans="1:12" s="106" customFormat="1" ht="15.75" hidden="1" customHeight="1" outlineLevel="1">
      <c r="A254" s="932"/>
      <c r="B254" s="1086"/>
      <c r="C254" s="1095"/>
      <c r="D254" s="1091"/>
      <c r="E254" s="1091"/>
      <c r="F254" s="1093"/>
      <c r="G254" s="98"/>
      <c r="H254" s="839"/>
      <c r="I254" s="1091"/>
      <c r="J254" s="1084"/>
      <c r="K254" s="1084"/>
      <c r="L254" s="932"/>
    </row>
    <row r="255" spans="1:12" s="106" customFormat="1" ht="15.75" hidden="1" customHeight="1" outlineLevel="1">
      <c r="A255" s="932"/>
      <c r="B255" s="1087"/>
      <c r="C255" s="1096"/>
      <c r="D255" s="1092"/>
      <c r="E255" s="1092"/>
      <c r="F255" s="1094"/>
      <c r="G255" s="103"/>
      <c r="H255" s="840"/>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839"/>
      <c r="I256" s="1091"/>
      <c r="J256" s="1083"/>
      <c r="K256" s="1083"/>
      <c r="L256" s="932"/>
    </row>
    <row r="257" spans="1:12" s="106" customFormat="1" ht="15.75" hidden="1" customHeight="1" outlineLevel="1">
      <c r="A257" s="932"/>
      <c r="B257" s="1086"/>
      <c r="C257" s="1095"/>
      <c r="D257" s="1091"/>
      <c r="E257" s="1091"/>
      <c r="F257" s="1093"/>
      <c r="G257" s="98"/>
      <c r="H257" s="839"/>
      <c r="I257" s="1091"/>
      <c r="J257" s="1084"/>
      <c r="K257" s="1084"/>
      <c r="L257" s="932"/>
    </row>
    <row r="258" spans="1:12" s="106" customFormat="1" ht="15.75" hidden="1" customHeight="1" outlineLevel="1">
      <c r="A258" s="932"/>
      <c r="B258" s="1087"/>
      <c r="C258" s="1096"/>
      <c r="D258" s="1092"/>
      <c r="E258" s="1092"/>
      <c r="F258" s="1094"/>
      <c r="G258" s="103"/>
      <c r="H258" s="840"/>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839"/>
      <c r="I259" s="1091"/>
      <c r="J259" s="1083"/>
      <c r="K259" s="1083"/>
      <c r="L259" s="932"/>
    </row>
    <row r="260" spans="1:12" s="106" customFormat="1" ht="15.75" hidden="1" customHeight="1" outlineLevel="1">
      <c r="A260" s="932"/>
      <c r="B260" s="1086"/>
      <c r="C260" s="1095"/>
      <c r="D260" s="1091"/>
      <c r="E260" s="1091"/>
      <c r="F260" s="1093"/>
      <c r="G260" s="98"/>
      <c r="H260" s="839"/>
      <c r="I260" s="1091"/>
      <c r="J260" s="1084"/>
      <c r="K260" s="1084"/>
      <c r="L260" s="932"/>
    </row>
    <row r="261" spans="1:12" s="106" customFormat="1" ht="15.75" hidden="1" customHeight="1" outlineLevel="1">
      <c r="A261" s="932"/>
      <c r="B261" s="1087"/>
      <c r="C261" s="1096"/>
      <c r="D261" s="1092"/>
      <c r="E261" s="1092"/>
      <c r="F261" s="1094"/>
      <c r="G261" s="103"/>
      <c r="H261" s="840"/>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839"/>
      <c r="I262" s="1091"/>
      <c r="J262" s="1083"/>
      <c r="K262" s="1083"/>
      <c r="L262" s="932"/>
    </row>
    <row r="263" spans="1:12" s="106" customFormat="1" ht="15.75" hidden="1" customHeight="1" outlineLevel="1">
      <c r="A263" s="932"/>
      <c r="B263" s="1086"/>
      <c r="C263" s="1095"/>
      <c r="D263" s="1091"/>
      <c r="E263" s="1091"/>
      <c r="F263" s="1093"/>
      <c r="G263" s="98"/>
      <c r="H263" s="839"/>
      <c r="I263" s="1091"/>
      <c r="J263" s="1084"/>
      <c r="K263" s="1084"/>
      <c r="L263" s="932"/>
    </row>
    <row r="264" spans="1:12" s="106" customFormat="1" ht="15.75" hidden="1" customHeight="1" outlineLevel="1">
      <c r="A264" s="932"/>
      <c r="B264" s="1087"/>
      <c r="C264" s="1096"/>
      <c r="D264" s="1092"/>
      <c r="E264" s="1092"/>
      <c r="F264" s="1094"/>
      <c r="G264" s="103"/>
      <c r="H264" s="840"/>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839"/>
      <c r="I265" s="1091"/>
      <c r="J265" s="1083"/>
      <c r="K265" s="1083"/>
      <c r="L265" s="932"/>
    </row>
    <row r="266" spans="1:12" s="106" customFormat="1" ht="15.75" hidden="1" customHeight="1" outlineLevel="1">
      <c r="A266" s="932"/>
      <c r="B266" s="1086"/>
      <c r="C266" s="1095"/>
      <c r="D266" s="1091"/>
      <c r="E266" s="1091"/>
      <c r="F266" s="1093"/>
      <c r="G266" s="98"/>
      <c r="H266" s="839"/>
      <c r="I266" s="1091"/>
      <c r="J266" s="1084"/>
      <c r="K266" s="1084"/>
      <c r="L266" s="932"/>
    </row>
    <row r="267" spans="1:12" s="106" customFormat="1" ht="15.75" hidden="1" customHeight="1" outlineLevel="1">
      <c r="A267" s="932"/>
      <c r="B267" s="1087"/>
      <c r="C267" s="1096"/>
      <c r="D267" s="1092"/>
      <c r="E267" s="1092"/>
      <c r="F267" s="1094"/>
      <c r="G267" s="103"/>
      <c r="H267" s="840"/>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839"/>
      <c r="I268" s="1091"/>
      <c r="J268" s="1083"/>
      <c r="K268" s="1083"/>
      <c r="L268" s="932"/>
    </row>
    <row r="269" spans="1:12" s="106" customFormat="1" ht="15.75" hidden="1" customHeight="1" outlineLevel="1">
      <c r="A269" s="932"/>
      <c r="B269" s="1086"/>
      <c r="C269" s="1095"/>
      <c r="D269" s="1091"/>
      <c r="E269" s="1091"/>
      <c r="F269" s="1093"/>
      <c r="G269" s="98"/>
      <c r="H269" s="839"/>
      <c r="I269" s="1091"/>
      <c r="J269" s="1084"/>
      <c r="K269" s="1084"/>
      <c r="L269" s="932"/>
    </row>
    <row r="270" spans="1:12" s="106" customFormat="1" ht="15.75" hidden="1" customHeight="1" outlineLevel="1">
      <c r="A270" s="932"/>
      <c r="B270" s="1087"/>
      <c r="C270" s="1096"/>
      <c r="D270" s="1092"/>
      <c r="E270" s="1092"/>
      <c r="F270" s="1094"/>
      <c r="G270" s="103"/>
      <c r="H270" s="840"/>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839"/>
      <c r="I271" s="1091"/>
      <c r="J271" s="1083"/>
      <c r="K271" s="1083"/>
      <c r="L271" s="932"/>
    </row>
    <row r="272" spans="1:12" s="106" customFormat="1" ht="15.75" hidden="1" customHeight="1" outlineLevel="1">
      <c r="A272" s="932"/>
      <c r="B272" s="1086"/>
      <c r="C272" s="1095"/>
      <c r="D272" s="1091"/>
      <c r="E272" s="1091"/>
      <c r="F272" s="1093"/>
      <c r="G272" s="98"/>
      <c r="H272" s="839"/>
      <c r="I272" s="1091"/>
      <c r="J272" s="1084"/>
      <c r="K272" s="1084"/>
      <c r="L272" s="932"/>
    </row>
    <row r="273" spans="1:12" s="106" customFormat="1" ht="15.75" hidden="1" customHeight="1" outlineLevel="1">
      <c r="A273" s="932"/>
      <c r="B273" s="1087"/>
      <c r="C273" s="1096"/>
      <c r="D273" s="1092"/>
      <c r="E273" s="1092"/>
      <c r="F273" s="1094"/>
      <c r="G273" s="103"/>
      <c r="H273" s="840"/>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839"/>
      <c r="I274" s="1091"/>
      <c r="J274" s="1083"/>
      <c r="K274" s="1083"/>
      <c r="L274" s="932"/>
    </row>
    <row r="275" spans="1:12" s="106" customFormat="1" ht="15.75" hidden="1" customHeight="1" outlineLevel="1">
      <c r="A275" s="932"/>
      <c r="B275" s="1086"/>
      <c r="C275" s="1095"/>
      <c r="D275" s="1091"/>
      <c r="E275" s="1091"/>
      <c r="F275" s="1093"/>
      <c r="G275" s="98"/>
      <c r="H275" s="839"/>
      <c r="I275" s="1091"/>
      <c r="J275" s="1084"/>
      <c r="K275" s="1084"/>
      <c r="L275" s="932"/>
    </row>
    <row r="276" spans="1:12" s="106" customFormat="1" ht="15.75" hidden="1" customHeight="1" outlineLevel="1">
      <c r="A276" s="932"/>
      <c r="B276" s="1087"/>
      <c r="C276" s="1096"/>
      <c r="D276" s="1092"/>
      <c r="E276" s="1092"/>
      <c r="F276" s="1094"/>
      <c r="G276" s="103"/>
      <c r="H276" s="840"/>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839"/>
      <c r="I277" s="1091"/>
      <c r="J277" s="1083"/>
      <c r="K277" s="1083"/>
      <c r="L277" s="932"/>
    </row>
    <row r="278" spans="1:12" s="106" customFormat="1" ht="15.75" hidden="1" customHeight="1" outlineLevel="1">
      <c r="A278" s="932"/>
      <c r="B278" s="1086"/>
      <c r="C278" s="1095"/>
      <c r="D278" s="1091"/>
      <c r="E278" s="1091"/>
      <c r="F278" s="1093"/>
      <c r="G278" s="98"/>
      <c r="H278" s="839"/>
      <c r="I278" s="1091"/>
      <c r="J278" s="1084"/>
      <c r="K278" s="1084"/>
      <c r="L278" s="932"/>
    </row>
    <row r="279" spans="1:12" s="106" customFormat="1" ht="15.75" hidden="1" customHeight="1" outlineLevel="1">
      <c r="A279" s="932"/>
      <c r="B279" s="1087"/>
      <c r="C279" s="1096"/>
      <c r="D279" s="1092"/>
      <c r="E279" s="1092"/>
      <c r="F279" s="1094"/>
      <c r="G279" s="103"/>
      <c r="H279" s="840"/>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839"/>
      <c r="I280" s="1091"/>
      <c r="J280" s="1083"/>
      <c r="K280" s="1083"/>
      <c r="L280" s="932"/>
    </row>
    <row r="281" spans="1:12" s="106" customFormat="1" ht="15.75" hidden="1" customHeight="1" outlineLevel="1">
      <c r="A281" s="932"/>
      <c r="B281" s="1086"/>
      <c r="C281" s="1095"/>
      <c r="D281" s="1091"/>
      <c r="E281" s="1091"/>
      <c r="F281" s="1093"/>
      <c r="G281" s="98"/>
      <c r="H281" s="839"/>
      <c r="I281" s="1091"/>
      <c r="J281" s="1084"/>
      <c r="K281" s="1084"/>
      <c r="L281" s="932"/>
    </row>
    <row r="282" spans="1:12" s="106" customFormat="1" ht="15.75" hidden="1" customHeight="1" outlineLevel="1">
      <c r="A282" s="932"/>
      <c r="B282" s="1087"/>
      <c r="C282" s="1096"/>
      <c r="D282" s="1092"/>
      <c r="E282" s="1092"/>
      <c r="F282" s="1094"/>
      <c r="G282" s="103"/>
      <c r="H282" s="840"/>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839"/>
      <c r="I283" s="1091"/>
      <c r="J283" s="1083"/>
      <c r="K283" s="1083"/>
      <c r="L283" s="932"/>
    </row>
    <row r="284" spans="1:12" s="106" customFormat="1" ht="15.75" hidden="1" customHeight="1" outlineLevel="1">
      <c r="A284" s="932"/>
      <c r="B284" s="1086"/>
      <c r="C284" s="1095"/>
      <c r="D284" s="1091"/>
      <c r="E284" s="1091"/>
      <c r="F284" s="1093"/>
      <c r="G284" s="98"/>
      <c r="H284" s="839"/>
      <c r="I284" s="1091"/>
      <c r="J284" s="1084"/>
      <c r="K284" s="1084"/>
      <c r="L284" s="932"/>
    </row>
    <row r="285" spans="1:12" s="106" customFormat="1" ht="15.75" hidden="1" customHeight="1" outlineLevel="1">
      <c r="A285" s="932"/>
      <c r="B285" s="1087"/>
      <c r="C285" s="1096"/>
      <c r="D285" s="1092"/>
      <c r="E285" s="1092"/>
      <c r="F285" s="1094"/>
      <c r="G285" s="103"/>
      <c r="H285" s="840"/>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839"/>
      <c r="I286" s="1091"/>
      <c r="J286" s="1083"/>
      <c r="K286" s="1083"/>
      <c r="L286" s="932"/>
    </row>
    <row r="287" spans="1:12" s="106" customFormat="1" ht="15.75" hidden="1" customHeight="1" outlineLevel="1">
      <c r="A287" s="932"/>
      <c r="B287" s="1086"/>
      <c r="C287" s="1095"/>
      <c r="D287" s="1091"/>
      <c r="E287" s="1091"/>
      <c r="F287" s="1093"/>
      <c r="G287" s="98"/>
      <c r="H287" s="839"/>
      <c r="I287" s="1091"/>
      <c r="J287" s="1084"/>
      <c r="K287" s="1084"/>
      <c r="L287" s="932"/>
    </row>
    <row r="288" spans="1:12" s="106" customFormat="1" ht="15.75" hidden="1" customHeight="1" outlineLevel="1">
      <c r="A288" s="932"/>
      <c r="B288" s="1087"/>
      <c r="C288" s="1096"/>
      <c r="D288" s="1092"/>
      <c r="E288" s="1092"/>
      <c r="F288" s="1094"/>
      <c r="G288" s="103"/>
      <c r="H288" s="840"/>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839"/>
      <c r="I289" s="1091"/>
      <c r="J289" s="1083"/>
      <c r="K289" s="1083"/>
      <c r="L289" s="932"/>
    </row>
    <row r="290" spans="1:12" s="106" customFormat="1" ht="15.75" hidden="1" customHeight="1" outlineLevel="1">
      <c r="A290" s="932"/>
      <c r="B290" s="1086"/>
      <c r="C290" s="1095"/>
      <c r="D290" s="1091"/>
      <c r="E290" s="1091"/>
      <c r="F290" s="1093"/>
      <c r="G290" s="98"/>
      <c r="H290" s="839"/>
      <c r="I290" s="1091"/>
      <c r="J290" s="1084"/>
      <c r="K290" s="1084"/>
      <c r="L290" s="932"/>
    </row>
    <row r="291" spans="1:12" s="106" customFormat="1" ht="15.75" hidden="1" customHeight="1" outlineLevel="1">
      <c r="A291" s="932"/>
      <c r="B291" s="1087"/>
      <c r="C291" s="1096"/>
      <c r="D291" s="1092"/>
      <c r="E291" s="1092"/>
      <c r="F291" s="1094"/>
      <c r="G291" s="103"/>
      <c r="H291" s="840"/>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839"/>
      <c r="I292" s="1091"/>
      <c r="J292" s="1083"/>
      <c r="K292" s="1083"/>
      <c r="L292" s="932"/>
    </row>
    <row r="293" spans="1:12" s="106" customFormat="1" ht="15.75" hidden="1" customHeight="1" outlineLevel="1">
      <c r="A293" s="932"/>
      <c r="B293" s="1086"/>
      <c r="C293" s="1095"/>
      <c r="D293" s="1091"/>
      <c r="E293" s="1091"/>
      <c r="F293" s="1093"/>
      <c r="G293" s="98"/>
      <c r="H293" s="839"/>
      <c r="I293" s="1091"/>
      <c r="J293" s="1084"/>
      <c r="K293" s="1084"/>
      <c r="L293" s="932"/>
    </row>
    <row r="294" spans="1:12" s="106" customFormat="1" ht="15.75" hidden="1" customHeight="1" outlineLevel="1">
      <c r="A294" s="932"/>
      <c r="B294" s="1087"/>
      <c r="C294" s="1096"/>
      <c r="D294" s="1092"/>
      <c r="E294" s="1092"/>
      <c r="F294" s="1094"/>
      <c r="G294" s="103"/>
      <c r="H294" s="840"/>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839"/>
      <c r="I295" s="1091"/>
      <c r="J295" s="1083"/>
      <c r="K295" s="1083"/>
      <c r="L295" s="932"/>
    </row>
    <row r="296" spans="1:12" s="106" customFormat="1" ht="15.75" hidden="1" customHeight="1" outlineLevel="1">
      <c r="A296" s="932"/>
      <c r="B296" s="1086"/>
      <c r="C296" s="1095"/>
      <c r="D296" s="1091"/>
      <c r="E296" s="1091"/>
      <c r="F296" s="1093"/>
      <c r="G296" s="98"/>
      <c r="H296" s="839"/>
      <c r="I296" s="1091"/>
      <c r="J296" s="1084"/>
      <c r="K296" s="1084"/>
      <c r="L296" s="932"/>
    </row>
    <row r="297" spans="1:12" s="106" customFormat="1" ht="15.75" hidden="1" customHeight="1" outlineLevel="1">
      <c r="A297" s="932"/>
      <c r="B297" s="1087"/>
      <c r="C297" s="1096"/>
      <c r="D297" s="1092"/>
      <c r="E297" s="1092"/>
      <c r="F297" s="1094"/>
      <c r="G297" s="103"/>
      <c r="H297" s="840"/>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839"/>
      <c r="I298" s="1091"/>
      <c r="J298" s="1083"/>
      <c r="K298" s="1083"/>
      <c r="L298" s="932"/>
    </row>
    <row r="299" spans="1:12" s="106" customFormat="1" ht="15.75" hidden="1" customHeight="1" outlineLevel="1">
      <c r="A299" s="932"/>
      <c r="B299" s="1086"/>
      <c r="C299" s="1095"/>
      <c r="D299" s="1091"/>
      <c r="E299" s="1091"/>
      <c r="F299" s="1093"/>
      <c r="G299" s="98"/>
      <c r="H299" s="839"/>
      <c r="I299" s="1091"/>
      <c r="J299" s="1084"/>
      <c r="K299" s="1084"/>
      <c r="L299" s="932"/>
    </row>
    <row r="300" spans="1:12" s="106" customFormat="1" ht="15.75" hidden="1" customHeight="1" outlineLevel="1">
      <c r="A300" s="932"/>
      <c r="B300" s="1087"/>
      <c r="C300" s="1096"/>
      <c r="D300" s="1092"/>
      <c r="E300" s="1092"/>
      <c r="F300" s="1094"/>
      <c r="G300" s="103"/>
      <c r="H300" s="840"/>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839"/>
      <c r="I301" s="1091"/>
      <c r="J301" s="1083"/>
      <c r="K301" s="1083"/>
      <c r="L301" s="932"/>
    </row>
    <row r="302" spans="1:12" s="106" customFormat="1" ht="15.75" hidden="1" customHeight="1" outlineLevel="1">
      <c r="A302" s="932"/>
      <c r="B302" s="1086"/>
      <c r="C302" s="1095"/>
      <c r="D302" s="1091"/>
      <c r="E302" s="1091"/>
      <c r="F302" s="1093"/>
      <c r="G302" s="98"/>
      <c r="H302" s="839"/>
      <c r="I302" s="1091"/>
      <c r="J302" s="1084"/>
      <c r="K302" s="1084"/>
      <c r="L302" s="932"/>
    </row>
    <row r="303" spans="1:12" s="106" customFormat="1" ht="15.75" hidden="1" customHeight="1" outlineLevel="1">
      <c r="A303" s="932"/>
      <c r="B303" s="1087"/>
      <c r="C303" s="1096"/>
      <c r="D303" s="1092"/>
      <c r="E303" s="1092"/>
      <c r="F303" s="1094"/>
      <c r="G303" s="103"/>
      <c r="H303" s="840"/>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839"/>
      <c r="I304" s="1091"/>
      <c r="J304" s="1083"/>
      <c r="K304" s="1083"/>
      <c r="L304" s="932"/>
    </row>
    <row r="305" spans="1:12" s="106" customFormat="1" ht="15.75" hidden="1" customHeight="1" outlineLevel="1">
      <c r="A305" s="932"/>
      <c r="B305" s="1086"/>
      <c r="C305" s="1095"/>
      <c r="D305" s="1091"/>
      <c r="E305" s="1091"/>
      <c r="F305" s="1093"/>
      <c r="G305" s="98"/>
      <c r="H305" s="839"/>
      <c r="I305" s="1091"/>
      <c r="J305" s="1084"/>
      <c r="K305" s="1084"/>
      <c r="L305" s="932"/>
    </row>
    <row r="306" spans="1:12" s="106" customFormat="1" ht="15.75" hidden="1" customHeight="1" outlineLevel="1">
      <c r="A306" s="932"/>
      <c r="B306" s="1087"/>
      <c r="C306" s="1096"/>
      <c r="D306" s="1092"/>
      <c r="E306" s="1092"/>
      <c r="F306" s="1094"/>
      <c r="G306" s="103"/>
      <c r="H306" s="840"/>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839"/>
      <c r="I307" s="1091"/>
      <c r="J307" s="1083"/>
      <c r="K307" s="1083"/>
      <c r="L307" s="932"/>
    </row>
    <row r="308" spans="1:12" s="106" customFormat="1" ht="15.75" hidden="1" customHeight="1" outlineLevel="1">
      <c r="A308" s="932"/>
      <c r="B308" s="1086"/>
      <c r="C308" s="1095"/>
      <c r="D308" s="1091"/>
      <c r="E308" s="1091"/>
      <c r="F308" s="1093"/>
      <c r="G308" s="98"/>
      <c r="H308" s="839"/>
      <c r="I308" s="1091"/>
      <c r="J308" s="1084"/>
      <c r="K308" s="1084"/>
      <c r="L308" s="932"/>
    </row>
    <row r="309" spans="1:12" s="106" customFormat="1" ht="15.75" hidden="1" customHeight="1" outlineLevel="1">
      <c r="A309" s="932"/>
      <c r="B309" s="1087"/>
      <c r="C309" s="1096"/>
      <c r="D309" s="1092"/>
      <c r="E309" s="1092"/>
      <c r="F309" s="1094"/>
      <c r="G309" s="103"/>
      <c r="H309" s="840"/>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839"/>
      <c r="I310" s="1091"/>
      <c r="J310" s="1083"/>
      <c r="K310" s="1083"/>
      <c r="L310" s="932"/>
    </row>
    <row r="311" spans="1:12" s="106" customFormat="1" ht="15.75" hidden="1" customHeight="1" outlineLevel="1">
      <c r="A311" s="932"/>
      <c r="B311" s="1086"/>
      <c r="C311" s="1095"/>
      <c r="D311" s="1091"/>
      <c r="E311" s="1091"/>
      <c r="F311" s="1093"/>
      <c r="G311" s="98"/>
      <c r="H311" s="839"/>
      <c r="I311" s="1091"/>
      <c r="J311" s="1084"/>
      <c r="K311" s="1084"/>
      <c r="L311" s="932"/>
    </row>
    <row r="312" spans="1:12" s="106" customFormat="1" ht="15.75" hidden="1" customHeight="1" outlineLevel="1">
      <c r="A312" s="932"/>
      <c r="B312" s="1087"/>
      <c r="C312" s="1096"/>
      <c r="D312" s="1092"/>
      <c r="E312" s="1092"/>
      <c r="F312" s="1094"/>
      <c r="G312" s="103"/>
      <c r="H312" s="840"/>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839"/>
      <c r="I313" s="1091"/>
      <c r="J313" s="1083"/>
      <c r="K313" s="1083"/>
      <c r="L313" s="932"/>
    </row>
    <row r="314" spans="1:12" s="106" customFormat="1" ht="15.75" hidden="1" customHeight="1" outlineLevel="1">
      <c r="A314" s="932"/>
      <c r="B314" s="1086"/>
      <c r="C314" s="1095"/>
      <c r="D314" s="1091"/>
      <c r="E314" s="1091"/>
      <c r="F314" s="1093"/>
      <c r="G314" s="98"/>
      <c r="H314" s="839"/>
      <c r="I314" s="1091"/>
      <c r="J314" s="1084"/>
      <c r="K314" s="1084"/>
      <c r="L314" s="932"/>
    </row>
    <row r="315" spans="1:12" s="106" customFormat="1" ht="15.75" hidden="1" customHeight="1" outlineLevel="1">
      <c r="A315" s="932"/>
      <c r="B315" s="1087"/>
      <c r="C315" s="1096"/>
      <c r="D315" s="1092"/>
      <c r="E315" s="1092"/>
      <c r="F315" s="1094"/>
      <c r="G315" s="103"/>
      <c r="H315" s="840"/>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839"/>
      <c r="I316" s="1091"/>
      <c r="J316" s="1083"/>
      <c r="K316" s="1083"/>
      <c r="L316" s="932"/>
    </row>
    <row r="317" spans="1:12" s="106" customFormat="1" ht="15.75" hidden="1" customHeight="1" outlineLevel="1">
      <c r="A317" s="932"/>
      <c r="B317" s="1086"/>
      <c r="C317" s="1095"/>
      <c r="D317" s="1091"/>
      <c r="E317" s="1091"/>
      <c r="F317" s="1093"/>
      <c r="G317" s="98"/>
      <c r="H317" s="839"/>
      <c r="I317" s="1091"/>
      <c r="J317" s="1084"/>
      <c r="K317" s="1084"/>
      <c r="L317" s="932"/>
    </row>
    <row r="318" spans="1:12" s="106" customFormat="1" ht="15.75" hidden="1" customHeight="1" outlineLevel="1">
      <c r="A318" s="932"/>
      <c r="B318" s="1087"/>
      <c r="C318" s="1096"/>
      <c r="D318" s="1092"/>
      <c r="E318" s="1092"/>
      <c r="F318" s="1094"/>
      <c r="G318" s="103"/>
      <c r="H318" s="840"/>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839"/>
      <c r="I319" s="1091"/>
      <c r="J319" s="1083"/>
      <c r="K319" s="1083"/>
      <c r="L319" s="932"/>
    </row>
    <row r="320" spans="1:12" s="106" customFormat="1" ht="15.75" hidden="1" customHeight="1" outlineLevel="1">
      <c r="A320" s="932"/>
      <c r="B320" s="1086"/>
      <c r="C320" s="1095"/>
      <c r="D320" s="1091"/>
      <c r="E320" s="1091"/>
      <c r="F320" s="1093"/>
      <c r="G320" s="98"/>
      <c r="H320" s="839"/>
      <c r="I320" s="1091"/>
      <c r="J320" s="1084"/>
      <c r="K320" s="1084"/>
      <c r="L320" s="932"/>
    </row>
    <row r="321" spans="1:12" s="106" customFormat="1" ht="15.75" hidden="1" customHeight="1" outlineLevel="1">
      <c r="A321" s="932"/>
      <c r="B321" s="1087"/>
      <c r="C321" s="1096"/>
      <c r="D321" s="1092"/>
      <c r="E321" s="1092"/>
      <c r="F321" s="1094"/>
      <c r="G321" s="103"/>
      <c r="H321" s="840"/>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839"/>
      <c r="I322" s="1091"/>
      <c r="J322" s="1083"/>
      <c r="K322" s="1083"/>
      <c r="L322" s="932"/>
    </row>
    <row r="323" spans="1:12" s="106" customFormat="1" ht="15.75" hidden="1" customHeight="1" outlineLevel="1">
      <c r="A323" s="932"/>
      <c r="B323" s="1086"/>
      <c r="C323" s="1095"/>
      <c r="D323" s="1091"/>
      <c r="E323" s="1091"/>
      <c r="F323" s="1093"/>
      <c r="G323" s="98"/>
      <c r="H323" s="839"/>
      <c r="I323" s="1091"/>
      <c r="J323" s="1084"/>
      <c r="K323" s="1084"/>
      <c r="L323" s="932"/>
    </row>
    <row r="324" spans="1:12" s="106" customFormat="1" ht="15.75" hidden="1" customHeight="1" outlineLevel="1">
      <c r="A324" s="932"/>
      <c r="B324" s="1087"/>
      <c r="C324" s="1096"/>
      <c r="D324" s="1092"/>
      <c r="E324" s="1092"/>
      <c r="F324" s="1094"/>
      <c r="G324" s="103"/>
      <c r="H324" s="840"/>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839"/>
      <c r="I325" s="1091"/>
      <c r="J325" s="1083"/>
      <c r="K325" s="1083"/>
      <c r="L325" s="932"/>
    </row>
    <row r="326" spans="1:12" s="106" customFormat="1" ht="15.75" hidden="1" customHeight="1" outlineLevel="1">
      <c r="A326" s="932"/>
      <c r="B326" s="1086"/>
      <c r="C326" s="1095"/>
      <c r="D326" s="1091"/>
      <c r="E326" s="1091"/>
      <c r="F326" s="1093"/>
      <c r="G326" s="98"/>
      <c r="H326" s="839"/>
      <c r="I326" s="1091"/>
      <c r="J326" s="1084"/>
      <c r="K326" s="1084"/>
      <c r="L326" s="932"/>
    </row>
    <row r="327" spans="1:12" s="106" customFormat="1" ht="15.75" hidden="1" customHeight="1" outlineLevel="1">
      <c r="A327" s="932"/>
      <c r="B327" s="1087"/>
      <c r="C327" s="1096"/>
      <c r="D327" s="1092"/>
      <c r="E327" s="1092"/>
      <c r="F327" s="1094"/>
      <c r="G327" s="103"/>
      <c r="H327" s="840"/>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839"/>
      <c r="I328" s="1091"/>
      <c r="J328" s="1083"/>
      <c r="K328" s="1083"/>
      <c r="L328" s="932"/>
    </row>
    <row r="329" spans="1:12" s="106" customFormat="1" ht="15.75" hidden="1" customHeight="1" outlineLevel="1">
      <c r="A329" s="932"/>
      <c r="B329" s="1086"/>
      <c r="C329" s="1095"/>
      <c r="D329" s="1091"/>
      <c r="E329" s="1091"/>
      <c r="F329" s="1093"/>
      <c r="G329" s="98"/>
      <c r="H329" s="839"/>
      <c r="I329" s="1091"/>
      <c r="J329" s="1084"/>
      <c r="K329" s="1084"/>
      <c r="L329" s="932"/>
    </row>
    <row r="330" spans="1:12" s="106" customFormat="1" ht="15.75" hidden="1" customHeight="1" outlineLevel="1">
      <c r="A330" s="932"/>
      <c r="B330" s="1087"/>
      <c r="C330" s="1096"/>
      <c r="D330" s="1092"/>
      <c r="E330" s="1092"/>
      <c r="F330" s="1094"/>
      <c r="G330" s="103"/>
      <c r="H330" s="840"/>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839"/>
      <c r="I331" s="1091"/>
      <c r="J331" s="1083"/>
      <c r="K331" s="1083"/>
      <c r="L331" s="932"/>
    </row>
    <row r="332" spans="1:12" s="106" customFormat="1" ht="15.75" hidden="1" customHeight="1" outlineLevel="1">
      <c r="A332" s="932"/>
      <c r="B332" s="1086"/>
      <c r="C332" s="1095"/>
      <c r="D332" s="1091"/>
      <c r="E332" s="1091"/>
      <c r="F332" s="1093"/>
      <c r="G332" s="98"/>
      <c r="H332" s="839"/>
      <c r="I332" s="1091"/>
      <c r="J332" s="1084"/>
      <c r="K332" s="1084"/>
      <c r="L332" s="932"/>
    </row>
    <row r="333" spans="1:12" s="106" customFormat="1" ht="15.75" hidden="1" customHeight="1" outlineLevel="1">
      <c r="A333" s="932"/>
      <c r="B333" s="1087"/>
      <c r="C333" s="1096"/>
      <c r="D333" s="1092"/>
      <c r="E333" s="1092"/>
      <c r="F333" s="1094"/>
      <c r="G333" s="103"/>
      <c r="H333" s="840"/>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839"/>
      <c r="I334" s="1091"/>
      <c r="J334" s="1083"/>
      <c r="K334" s="1083"/>
      <c r="L334" s="932"/>
    </row>
    <row r="335" spans="1:12" s="106" customFormat="1" ht="15.75" hidden="1" customHeight="1" outlineLevel="1">
      <c r="A335" s="932"/>
      <c r="B335" s="1086"/>
      <c r="C335" s="1095"/>
      <c r="D335" s="1091"/>
      <c r="E335" s="1091"/>
      <c r="F335" s="1093"/>
      <c r="G335" s="98"/>
      <c r="H335" s="839"/>
      <c r="I335" s="1091"/>
      <c r="J335" s="1084"/>
      <c r="K335" s="1084"/>
      <c r="L335" s="932"/>
    </row>
    <row r="336" spans="1:12" s="106" customFormat="1" ht="15.75" hidden="1" customHeight="1" outlineLevel="1">
      <c r="A336" s="932"/>
      <c r="B336" s="1087"/>
      <c r="C336" s="1096"/>
      <c r="D336" s="1092"/>
      <c r="E336" s="1092"/>
      <c r="F336" s="1094"/>
      <c r="G336" s="103"/>
      <c r="H336" s="840"/>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839"/>
      <c r="I337" s="1091"/>
      <c r="J337" s="1083"/>
      <c r="K337" s="1083"/>
      <c r="L337" s="932"/>
    </row>
    <row r="338" spans="1:12" s="106" customFormat="1" ht="15.75" hidden="1" customHeight="1" outlineLevel="1">
      <c r="A338" s="932"/>
      <c r="B338" s="1086"/>
      <c r="C338" s="1095"/>
      <c r="D338" s="1091"/>
      <c r="E338" s="1091"/>
      <c r="F338" s="1093"/>
      <c r="G338" s="98"/>
      <c r="H338" s="839"/>
      <c r="I338" s="1091"/>
      <c r="J338" s="1084"/>
      <c r="K338" s="1084"/>
      <c r="L338" s="932"/>
    </row>
    <row r="339" spans="1:12" s="106" customFormat="1" ht="15.75" hidden="1" customHeight="1" outlineLevel="1">
      <c r="A339" s="932"/>
      <c r="B339" s="1087"/>
      <c r="C339" s="1096"/>
      <c r="D339" s="1092"/>
      <c r="E339" s="1092"/>
      <c r="F339" s="1094"/>
      <c r="G339" s="103"/>
      <c r="H339" s="840"/>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839"/>
      <c r="I340" s="1091"/>
      <c r="J340" s="1083"/>
      <c r="K340" s="1083"/>
      <c r="L340" s="932"/>
    </row>
    <row r="341" spans="1:12" s="106" customFormat="1" ht="15.75" hidden="1" customHeight="1" outlineLevel="1">
      <c r="A341" s="932"/>
      <c r="B341" s="1086"/>
      <c r="C341" s="1095"/>
      <c r="D341" s="1091"/>
      <c r="E341" s="1091"/>
      <c r="F341" s="1093"/>
      <c r="G341" s="98"/>
      <c r="H341" s="839"/>
      <c r="I341" s="1091"/>
      <c r="J341" s="1084"/>
      <c r="K341" s="1084"/>
      <c r="L341" s="932"/>
    </row>
    <row r="342" spans="1:12" s="106" customFormat="1" ht="15.75" hidden="1" customHeight="1" outlineLevel="1">
      <c r="A342" s="932"/>
      <c r="B342" s="1087"/>
      <c r="C342" s="1096"/>
      <c r="D342" s="1092"/>
      <c r="E342" s="1092"/>
      <c r="F342" s="1094"/>
      <c r="G342" s="103"/>
      <c r="H342" s="840"/>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839"/>
      <c r="I343" s="1091"/>
      <c r="J343" s="1083"/>
      <c r="K343" s="1083"/>
      <c r="L343" s="932"/>
    </row>
    <row r="344" spans="1:12" s="106" customFormat="1" ht="15.75" hidden="1" customHeight="1" outlineLevel="1">
      <c r="A344" s="932"/>
      <c r="B344" s="1086"/>
      <c r="C344" s="1095"/>
      <c r="D344" s="1091"/>
      <c r="E344" s="1091"/>
      <c r="F344" s="1093"/>
      <c r="G344" s="98"/>
      <c r="H344" s="839"/>
      <c r="I344" s="1091"/>
      <c r="J344" s="1084"/>
      <c r="K344" s="1084"/>
      <c r="L344" s="932"/>
    </row>
    <row r="345" spans="1:12" s="106" customFormat="1" ht="15.75" hidden="1" customHeight="1" outlineLevel="1">
      <c r="A345" s="932"/>
      <c r="B345" s="1087"/>
      <c r="C345" s="1096"/>
      <c r="D345" s="1092"/>
      <c r="E345" s="1092"/>
      <c r="F345" s="1094"/>
      <c r="G345" s="103"/>
      <c r="H345" s="840"/>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839"/>
      <c r="I346" s="1091"/>
      <c r="J346" s="1083"/>
      <c r="K346" s="1083"/>
      <c r="L346" s="932"/>
    </row>
    <row r="347" spans="1:12" s="106" customFormat="1" ht="15.75" hidden="1" customHeight="1" outlineLevel="1">
      <c r="A347" s="932"/>
      <c r="B347" s="1086"/>
      <c r="C347" s="1095"/>
      <c r="D347" s="1091"/>
      <c r="E347" s="1091"/>
      <c r="F347" s="1093"/>
      <c r="G347" s="98"/>
      <c r="H347" s="839"/>
      <c r="I347" s="1091"/>
      <c r="J347" s="1084"/>
      <c r="K347" s="1084"/>
      <c r="L347" s="932"/>
    </row>
    <row r="348" spans="1:12" s="106" customFormat="1" ht="15.75" hidden="1" customHeight="1" outlineLevel="1">
      <c r="A348" s="932"/>
      <c r="B348" s="1087"/>
      <c r="C348" s="1096"/>
      <c r="D348" s="1092"/>
      <c r="E348" s="1092"/>
      <c r="F348" s="1094"/>
      <c r="G348" s="103"/>
      <c r="H348" s="840"/>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839"/>
      <c r="I349" s="1091"/>
      <c r="J349" s="1083"/>
      <c r="K349" s="1083"/>
      <c r="L349" s="932"/>
    </row>
    <row r="350" spans="1:12" s="106" customFormat="1" ht="15.75" hidden="1" customHeight="1" outlineLevel="1">
      <c r="A350" s="932"/>
      <c r="B350" s="1086"/>
      <c r="C350" s="1095"/>
      <c r="D350" s="1091"/>
      <c r="E350" s="1091"/>
      <c r="F350" s="1093"/>
      <c r="G350" s="98"/>
      <c r="H350" s="839"/>
      <c r="I350" s="1091"/>
      <c r="J350" s="1084"/>
      <c r="K350" s="1084"/>
      <c r="L350" s="932"/>
    </row>
    <row r="351" spans="1:12" s="106" customFormat="1" ht="15.75" hidden="1" customHeight="1" outlineLevel="1">
      <c r="A351" s="932"/>
      <c r="B351" s="1087"/>
      <c r="C351" s="1096"/>
      <c r="D351" s="1092"/>
      <c r="E351" s="1092"/>
      <c r="F351" s="1094"/>
      <c r="G351" s="103"/>
      <c r="H351" s="840"/>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839"/>
      <c r="I352" s="1091"/>
      <c r="J352" s="1083"/>
      <c r="K352" s="1083"/>
      <c r="L352" s="932"/>
    </row>
    <row r="353" spans="1:12" s="106" customFormat="1" ht="15.75" hidden="1" customHeight="1" outlineLevel="1">
      <c r="A353" s="932"/>
      <c r="B353" s="1086"/>
      <c r="C353" s="1095"/>
      <c r="D353" s="1091"/>
      <c r="E353" s="1091"/>
      <c r="F353" s="1093"/>
      <c r="G353" s="98"/>
      <c r="H353" s="839"/>
      <c r="I353" s="1091"/>
      <c r="J353" s="1084"/>
      <c r="K353" s="1084"/>
      <c r="L353" s="932"/>
    </row>
    <row r="354" spans="1:12" s="106" customFormat="1" ht="15.75" hidden="1" customHeight="1" outlineLevel="1">
      <c r="A354" s="932"/>
      <c r="B354" s="1087"/>
      <c r="C354" s="1096"/>
      <c r="D354" s="1092"/>
      <c r="E354" s="1092"/>
      <c r="F354" s="1094"/>
      <c r="G354" s="103"/>
      <c r="H354" s="840"/>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839"/>
      <c r="I355" s="1091"/>
      <c r="J355" s="1083"/>
      <c r="K355" s="1083"/>
      <c r="L355" s="932"/>
    </row>
    <row r="356" spans="1:12" s="106" customFormat="1" ht="15.75" hidden="1" customHeight="1" outlineLevel="1">
      <c r="A356" s="932"/>
      <c r="B356" s="1086"/>
      <c r="C356" s="1095"/>
      <c r="D356" s="1091"/>
      <c r="E356" s="1091"/>
      <c r="F356" s="1093"/>
      <c r="G356" s="98"/>
      <c r="H356" s="839"/>
      <c r="I356" s="1091"/>
      <c r="J356" s="1084"/>
      <c r="K356" s="1084"/>
      <c r="L356" s="932"/>
    </row>
    <row r="357" spans="1:12" s="106" customFormat="1" ht="15.75" hidden="1" customHeight="1" outlineLevel="1">
      <c r="A357" s="932"/>
      <c r="B357" s="1087"/>
      <c r="C357" s="1096"/>
      <c r="D357" s="1092"/>
      <c r="E357" s="1092"/>
      <c r="F357" s="1094"/>
      <c r="G357" s="103"/>
      <c r="H357" s="840"/>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839"/>
      <c r="I358" s="1091"/>
      <c r="J358" s="1083"/>
      <c r="K358" s="1083"/>
      <c r="L358" s="932"/>
    </row>
    <row r="359" spans="1:12" s="106" customFormat="1" ht="15.75" hidden="1" customHeight="1" outlineLevel="1">
      <c r="A359" s="932"/>
      <c r="B359" s="1086"/>
      <c r="C359" s="1095"/>
      <c r="D359" s="1091"/>
      <c r="E359" s="1091"/>
      <c r="F359" s="1093"/>
      <c r="G359" s="98"/>
      <c r="H359" s="839"/>
      <c r="I359" s="1091"/>
      <c r="J359" s="1084"/>
      <c r="K359" s="1084"/>
      <c r="L359" s="932"/>
    </row>
    <row r="360" spans="1:12" s="106" customFormat="1" ht="15.75" hidden="1" customHeight="1" outlineLevel="1">
      <c r="A360" s="932"/>
      <c r="B360" s="1087"/>
      <c r="C360" s="1096"/>
      <c r="D360" s="1092"/>
      <c r="E360" s="1092"/>
      <c r="F360" s="1094"/>
      <c r="G360" s="103"/>
      <c r="H360" s="840"/>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839"/>
      <c r="I361" s="1091"/>
      <c r="J361" s="1083"/>
      <c r="K361" s="1083"/>
      <c r="L361" s="932"/>
    </row>
    <row r="362" spans="1:12" s="106" customFormat="1" ht="15.75" hidden="1" customHeight="1" outlineLevel="1">
      <c r="A362" s="932"/>
      <c r="B362" s="1086"/>
      <c r="C362" s="1095"/>
      <c r="D362" s="1091"/>
      <c r="E362" s="1091"/>
      <c r="F362" s="1093"/>
      <c r="G362" s="98"/>
      <c r="H362" s="839"/>
      <c r="I362" s="1091"/>
      <c r="J362" s="1084"/>
      <c r="K362" s="1084"/>
      <c r="L362" s="932"/>
    </row>
    <row r="363" spans="1:12" s="106" customFormat="1" ht="15.75" hidden="1" customHeight="1" outlineLevel="1">
      <c r="A363" s="932"/>
      <c r="B363" s="1087"/>
      <c r="C363" s="1096"/>
      <c r="D363" s="1092"/>
      <c r="E363" s="1092"/>
      <c r="F363" s="1094"/>
      <c r="G363" s="103"/>
      <c r="H363" s="840"/>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839"/>
      <c r="I364" s="1091"/>
      <c r="J364" s="1083"/>
      <c r="K364" s="1083"/>
      <c r="L364" s="932"/>
    </row>
    <row r="365" spans="1:12" s="106" customFormat="1" ht="15.75" hidden="1" customHeight="1" outlineLevel="1">
      <c r="A365" s="932"/>
      <c r="B365" s="1086"/>
      <c r="C365" s="1095"/>
      <c r="D365" s="1091"/>
      <c r="E365" s="1091"/>
      <c r="F365" s="1093"/>
      <c r="G365" s="98"/>
      <c r="H365" s="839"/>
      <c r="I365" s="1091"/>
      <c r="J365" s="1084"/>
      <c r="K365" s="1084"/>
      <c r="L365" s="932"/>
    </row>
    <row r="366" spans="1:12" s="106" customFormat="1" ht="15.75" hidden="1" customHeight="1" outlineLevel="1">
      <c r="A366" s="932"/>
      <c r="B366" s="1087"/>
      <c r="C366" s="1096"/>
      <c r="D366" s="1092"/>
      <c r="E366" s="1092"/>
      <c r="F366" s="1094"/>
      <c r="G366" s="103"/>
      <c r="H366" s="840"/>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839"/>
      <c r="I367" s="1091"/>
      <c r="J367" s="1083"/>
      <c r="K367" s="1083"/>
      <c r="L367" s="932"/>
    </row>
    <row r="368" spans="1:12" s="106" customFormat="1" ht="15.75" hidden="1" customHeight="1" outlineLevel="1">
      <c r="A368" s="932"/>
      <c r="B368" s="1086"/>
      <c r="C368" s="1095"/>
      <c r="D368" s="1091"/>
      <c r="E368" s="1091"/>
      <c r="F368" s="1093"/>
      <c r="G368" s="98"/>
      <c r="H368" s="839"/>
      <c r="I368" s="1091"/>
      <c r="J368" s="1084"/>
      <c r="K368" s="1084"/>
      <c r="L368" s="932"/>
    </row>
    <row r="369" spans="1:12" s="106" customFormat="1" ht="15.75" hidden="1" customHeight="1" outlineLevel="1">
      <c r="A369" s="932"/>
      <c r="B369" s="1087"/>
      <c r="C369" s="1096"/>
      <c r="D369" s="1092"/>
      <c r="E369" s="1092"/>
      <c r="F369" s="1094"/>
      <c r="G369" s="103"/>
      <c r="H369" s="840"/>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839"/>
      <c r="I370" s="1091"/>
      <c r="J370" s="1083"/>
      <c r="K370" s="1083"/>
      <c r="L370" s="932"/>
    </row>
    <row r="371" spans="1:12" s="106" customFormat="1" ht="15.75" hidden="1" customHeight="1" outlineLevel="1">
      <c r="A371" s="932"/>
      <c r="B371" s="1086"/>
      <c r="C371" s="1095"/>
      <c r="D371" s="1091"/>
      <c r="E371" s="1091"/>
      <c r="F371" s="1093"/>
      <c r="G371" s="98"/>
      <c r="H371" s="839"/>
      <c r="I371" s="1091"/>
      <c r="J371" s="1084"/>
      <c r="K371" s="1084"/>
      <c r="L371" s="932"/>
    </row>
    <row r="372" spans="1:12" s="106" customFormat="1" ht="15.75" hidden="1" customHeight="1" outlineLevel="1">
      <c r="A372" s="932"/>
      <c r="B372" s="1087"/>
      <c r="C372" s="1096"/>
      <c r="D372" s="1092"/>
      <c r="E372" s="1092"/>
      <c r="F372" s="1094"/>
      <c r="G372" s="103"/>
      <c r="H372" s="840"/>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839"/>
      <c r="I373" s="1091"/>
      <c r="J373" s="1083"/>
      <c r="K373" s="1083"/>
      <c r="L373" s="932"/>
    </row>
    <row r="374" spans="1:12" s="106" customFormat="1" ht="15.75" hidden="1" customHeight="1" outlineLevel="1">
      <c r="A374" s="932"/>
      <c r="B374" s="1086"/>
      <c r="C374" s="1095"/>
      <c r="D374" s="1091"/>
      <c r="E374" s="1091"/>
      <c r="F374" s="1093"/>
      <c r="G374" s="98"/>
      <c r="H374" s="839"/>
      <c r="I374" s="1091"/>
      <c r="J374" s="1084"/>
      <c r="K374" s="1084"/>
      <c r="L374" s="932"/>
    </row>
    <row r="375" spans="1:12" s="106" customFormat="1" ht="15.75" hidden="1" customHeight="1" outlineLevel="1">
      <c r="A375" s="932"/>
      <c r="B375" s="1087"/>
      <c r="C375" s="1096"/>
      <c r="D375" s="1092"/>
      <c r="E375" s="1092"/>
      <c r="F375" s="1094"/>
      <c r="G375" s="103"/>
      <c r="H375" s="840"/>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839"/>
      <c r="I376" s="1091"/>
      <c r="J376" s="1083"/>
      <c r="K376" s="1083"/>
      <c r="L376" s="932"/>
    </row>
    <row r="377" spans="1:12" s="106" customFormat="1" ht="15.75" hidden="1" customHeight="1" outlineLevel="1">
      <c r="A377" s="932"/>
      <c r="B377" s="1086"/>
      <c r="C377" s="1095"/>
      <c r="D377" s="1091"/>
      <c r="E377" s="1091"/>
      <c r="F377" s="1093"/>
      <c r="G377" s="98"/>
      <c r="H377" s="839"/>
      <c r="I377" s="1091"/>
      <c r="J377" s="1084"/>
      <c r="K377" s="1084"/>
      <c r="L377" s="932"/>
    </row>
    <row r="378" spans="1:12" s="106" customFormat="1" ht="15.75" hidden="1" customHeight="1" outlineLevel="1">
      <c r="A378" s="932"/>
      <c r="B378" s="1087"/>
      <c r="C378" s="1096"/>
      <c r="D378" s="1092"/>
      <c r="E378" s="1092"/>
      <c r="F378" s="1094"/>
      <c r="G378" s="103"/>
      <c r="H378" s="840"/>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839"/>
      <c r="I379" s="1091"/>
      <c r="J379" s="1083"/>
      <c r="K379" s="1083"/>
      <c r="L379" s="932"/>
    </row>
    <row r="380" spans="1:12" s="106" customFormat="1" ht="15.75" hidden="1" customHeight="1" outlineLevel="1">
      <c r="A380" s="932"/>
      <c r="B380" s="1086"/>
      <c r="C380" s="1095"/>
      <c r="D380" s="1091"/>
      <c r="E380" s="1091"/>
      <c r="F380" s="1093"/>
      <c r="G380" s="98"/>
      <c r="H380" s="839"/>
      <c r="I380" s="1091"/>
      <c r="J380" s="1084"/>
      <c r="K380" s="1084"/>
      <c r="L380" s="932"/>
    </row>
    <row r="381" spans="1:12" s="106" customFormat="1" ht="15.75" hidden="1" customHeight="1" outlineLevel="1">
      <c r="A381" s="932"/>
      <c r="B381" s="1087"/>
      <c r="C381" s="1096"/>
      <c r="D381" s="1092"/>
      <c r="E381" s="1092"/>
      <c r="F381" s="1094"/>
      <c r="G381" s="103"/>
      <c r="H381" s="840"/>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839"/>
      <c r="I382" s="1091"/>
      <c r="J382" s="1083"/>
      <c r="K382" s="1083"/>
      <c r="L382" s="932"/>
    </row>
    <row r="383" spans="1:12" s="106" customFormat="1" ht="15.75" hidden="1" customHeight="1" outlineLevel="1">
      <c r="A383" s="932"/>
      <c r="B383" s="1086"/>
      <c r="C383" s="1095"/>
      <c r="D383" s="1091"/>
      <c r="E383" s="1091"/>
      <c r="F383" s="1093"/>
      <c r="G383" s="98"/>
      <c r="H383" s="839"/>
      <c r="I383" s="1091"/>
      <c r="J383" s="1084"/>
      <c r="K383" s="1084"/>
      <c r="L383" s="932"/>
    </row>
    <row r="384" spans="1:12" s="106" customFormat="1" ht="15.75" hidden="1" customHeight="1" outlineLevel="1">
      <c r="A384" s="932"/>
      <c r="B384" s="1087"/>
      <c r="C384" s="1096"/>
      <c r="D384" s="1092"/>
      <c r="E384" s="1092"/>
      <c r="F384" s="1094"/>
      <c r="G384" s="103"/>
      <c r="H384" s="840"/>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839"/>
      <c r="I385" s="1091"/>
      <c r="J385" s="1083"/>
      <c r="K385" s="1083"/>
      <c r="L385" s="932"/>
    </row>
    <row r="386" spans="1:12" s="106" customFormat="1" ht="15.75" hidden="1" customHeight="1" outlineLevel="1">
      <c r="A386" s="932"/>
      <c r="B386" s="1086"/>
      <c r="C386" s="1095"/>
      <c r="D386" s="1091"/>
      <c r="E386" s="1091"/>
      <c r="F386" s="1093"/>
      <c r="G386" s="98"/>
      <c r="H386" s="839"/>
      <c r="I386" s="1091"/>
      <c r="J386" s="1084"/>
      <c r="K386" s="1084"/>
      <c r="L386" s="932"/>
    </row>
    <row r="387" spans="1:12" s="106" customFormat="1" ht="15.75" hidden="1" customHeight="1" outlineLevel="1">
      <c r="A387" s="932"/>
      <c r="B387" s="1087"/>
      <c r="C387" s="1096"/>
      <c r="D387" s="1092"/>
      <c r="E387" s="1092"/>
      <c r="F387" s="1094"/>
      <c r="G387" s="103"/>
      <c r="H387" s="840"/>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839"/>
      <c r="I388" s="1091"/>
      <c r="J388" s="1083"/>
      <c r="K388" s="1083"/>
      <c r="L388" s="932"/>
    </row>
    <row r="389" spans="1:12" s="106" customFormat="1" ht="15.75" hidden="1" customHeight="1" outlineLevel="1">
      <c r="A389" s="932"/>
      <c r="B389" s="1086"/>
      <c r="C389" s="1095"/>
      <c r="D389" s="1091"/>
      <c r="E389" s="1091"/>
      <c r="F389" s="1093"/>
      <c r="G389" s="98"/>
      <c r="H389" s="839"/>
      <c r="I389" s="1091"/>
      <c r="J389" s="1084"/>
      <c r="K389" s="1084"/>
      <c r="L389" s="932"/>
    </row>
    <row r="390" spans="1:12" s="106" customFormat="1" ht="15.75" hidden="1" customHeight="1" outlineLevel="1">
      <c r="A390" s="932"/>
      <c r="B390" s="1087"/>
      <c r="C390" s="1096"/>
      <c r="D390" s="1092"/>
      <c r="E390" s="1092"/>
      <c r="F390" s="1094"/>
      <c r="G390" s="103"/>
      <c r="H390" s="840"/>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839"/>
      <c r="I391" s="1091"/>
      <c r="J391" s="1083"/>
      <c r="K391" s="1083"/>
      <c r="L391" s="932"/>
    </row>
    <row r="392" spans="1:12" s="106" customFormat="1" ht="15.75" hidden="1" customHeight="1" outlineLevel="1">
      <c r="A392" s="932"/>
      <c r="B392" s="1086"/>
      <c r="C392" s="1095"/>
      <c r="D392" s="1091"/>
      <c r="E392" s="1091"/>
      <c r="F392" s="1093"/>
      <c r="G392" s="98"/>
      <c r="H392" s="839"/>
      <c r="I392" s="1091"/>
      <c r="J392" s="1084"/>
      <c r="K392" s="1084"/>
      <c r="L392" s="932"/>
    </row>
    <row r="393" spans="1:12" s="106" customFormat="1" ht="15.75" hidden="1" customHeight="1" outlineLevel="1">
      <c r="A393" s="932"/>
      <c r="B393" s="1087"/>
      <c r="C393" s="1096"/>
      <c r="D393" s="1092"/>
      <c r="E393" s="1092"/>
      <c r="F393" s="1094"/>
      <c r="G393" s="103"/>
      <c r="H393" s="840"/>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839"/>
      <c r="I394" s="1091"/>
      <c r="J394" s="1083"/>
      <c r="K394" s="1083"/>
      <c r="L394" s="932"/>
    </row>
    <row r="395" spans="1:12" s="106" customFormat="1" ht="15.75" hidden="1" customHeight="1" outlineLevel="1">
      <c r="A395" s="932"/>
      <c r="B395" s="1086"/>
      <c r="C395" s="1095"/>
      <c r="D395" s="1091"/>
      <c r="E395" s="1091"/>
      <c r="F395" s="1093"/>
      <c r="G395" s="98"/>
      <c r="H395" s="839"/>
      <c r="I395" s="1091"/>
      <c r="J395" s="1084"/>
      <c r="K395" s="1084"/>
      <c r="L395" s="932"/>
    </row>
    <row r="396" spans="1:12" s="106" customFormat="1" ht="15.75" hidden="1" customHeight="1" outlineLevel="1">
      <c r="A396" s="932"/>
      <c r="B396" s="1087"/>
      <c r="C396" s="1096"/>
      <c r="D396" s="1092"/>
      <c r="E396" s="1092"/>
      <c r="F396" s="1094"/>
      <c r="G396" s="103"/>
      <c r="H396" s="840"/>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839"/>
      <c r="I397" s="1091"/>
      <c r="J397" s="1083"/>
      <c r="K397" s="1083"/>
      <c r="L397" s="932"/>
    </row>
    <row r="398" spans="1:12" s="106" customFormat="1" ht="15.75" hidden="1" customHeight="1" outlineLevel="1">
      <c r="A398" s="932"/>
      <c r="B398" s="1086"/>
      <c r="C398" s="1095"/>
      <c r="D398" s="1091"/>
      <c r="E398" s="1091"/>
      <c r="F398" s="1093"/>
      <c r="G398" s="98"/>
      <c r="H398" s="839"/>
      <c r="I398" s="1091"/>
      <c r="J398" s="1084"/>
      <c r="K398" s="1084"/>
      <c r="L398" s="932"/>
    </row>
    <row r="399" spans="1:12" s="106" customFormat="1" ht="15.75" hidden="1" customHeight="1" outlineLevel="1">
      <c r="A399" s="932"/>
      <c r="B399" s="1087"/>
      <c r="C399" s="1096"/>
      <c r="D399" s="1092"/>
      <c r="E399" s="1092"/>
      <c r="F399" s="1094"/>
      <c r="G399" s="103"/>
      <c r="H399" s="840"/>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839"/>
      <c r="I400" s="1091"/>
      <c r="J400" s="1083"/>
      <c r="K400" s="1083"/>
      <c r="L400" s="932"/>
    </row>
    <row r="401" spans="1:12" s="106" customFormat="1" ht="15.75" hidden="1" customHeight="1" outlineLevel="1">
      <c r="A401" s="932"/>
      <c r="B401" s="1086"/>
      <c r="C401" s="1095"/>
      <c r="D401" s="1091"/>
      <c r="E401" s="1091"/>
      <c r="F401" s="1093"/>
      <c r="G401" s="98"/>
      <c r="H401" s="839"/>
      <c r="I401" s="1091"/>
      <c r="J401" s="1084"/>
      <c r="K401" s="1084"/>
      <c r="L401" s="932"/>
    </row>
    <row r="402" spans="1:12" s="106" customFormat="1" ht="15.75" hidden="1" customHeight="1" outlineLevel="1">
      <c r="A402" s="932"/>
      <c r="B402" s="1087"/>
      <c r="C402" s="1096"/>
      <c r="D402" s="1092"/>
      <c r="E402" s="1092"/>
      <c r="F402" s="1094"/>
      <c r="G402" s="103"/>
      <c r="H402" s="840"/>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839"/>
      <c r="I403" s="1091"/>
      <c r="J403" s="1083"/>
      <c r="K403" s="1083"/>
      <c r="L403" s="932"/>
    </row>
    <row r="404" spans="1:12" s="106" customFormat="1" ht="15.75" hidden="1" customHeight="1" outlineLevel="1">
      <c r="A404" s="932"/>
      <c r="B404" s="1086"/>
      <c r="C404" s="1095"/>
      <c r="D404" s="1091"/>
      <c r="E404" s="1091"/>
      <c r="F404" s="1093"/>
      <c r="G404" s="98"/>
      <c r="H404" s="839"/>
      <c r="I404" s="1091"/>
      <c r="J404" s="1084"/>
      <c r="K404" s="1084"/>
      <c r="L404" s="932"/>
    </row>
    <row r="405" spans="1:12" s="106" customFormat="1" ht="15.75" hidden="1" customHeight="1" outlineLevel="1">
      <c r="A405" s="932"/>
      <c r="B405" s="1087"/>
      <c r="C405" s="1096"/>
      <c r="D405" s="1092"/>
      <c r="E405" s="1092"/>
      <c r="F405" s="1094"/>
      <c r="G405" s="103"/>
      <c r="H405" s="840"/>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839"/>
      <c r="I406" s="1091"/>
      <c r="J406" s="1083"/>
      <c r="K406" s="1083"/>
      <c r="L406" s="932"/>
    </row>
    <row r="407" spans="1:12" s="106" customFormat="1" ht="15.75" hidden="1" customHeight="1" outlineLevel="1">
      <c r="A407" s="932"/>
      <c r="B407" s="1086"/>
      <c r="C407" s="1095"/>
      <c r="D407" s="1091"/>
      <c r="E407" s="1091"/>
      <c r="F407" s="1093"/>
      <c r="G407" s="98"/>
      <c r="H407" s="839"/>
      <c r="I407" s="1091"/>
      <c r="J407" s="1084"/>
      <c r="K407" s="1084"/>
      <c r="L407" s="932"/>
    </row>
    <row r="408" spans="1:12" s="106" customFormat="1" ht="15.75" hidden="1" customHeight="1" outlineLevel="1">
      <c r="A408" s="932"/>
      <c r="B408" s="1087"/>
      <c r="C408" s="1096"/>
      <c r="D408" s="1092"/>
      <c r="E408" s="1092"/>
      <c r="F408" s="1094"/>
      <c r="G408" s="103"/>
      <c r="H408" s="840"/>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839"/>
      <c r="I409" s="1091"/>
      <c r="J409" s="1083"/>
      <c r="K409" s="1083"/>
      <c r="L409" s="932"/>
    </row>
    <row r="410" spans="1:12" s="106" customFormat="1" ht="15.75" hidden="1" customHeight="1" outlineLevel="1">
      <c r="A410" s="932"/>
      <c r="B410" s="1086"/>
      <c r="C410" s="1095"/>
      <c r="D410" s="1091"/>
      <c r="E410" s="1091"/>
      <c r="F410" s="1093"/>
      <c r="G410" s="98"/>
      <c r="H410" s="839"/>
      <c r="I410" s="1091"/>
      <c r="J410" s="1084"/>
      <c r="K410" s="1084"/>
      <c r="L410" s="932"/>
    </row>
    <row r="411" spans="1:12" s="106" customFormat="1" ht="15.75" hidden="1" customHeight="1" outlineLevel="1">
      <c r="A411" s="932"/>
      <c r="B411" s="1087"/>
      <c r="C411" s="1096"/>
      <c r="D411" s="1092"/>
      <c r="E411" s="1092"/>
      <c r="F411" s="1094"/>
      <c r="G411" s="103"/>
      <c r="H411" s="840"/>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839"/>
      <c r="I412" s="1091"/>
      <c r="J412" s="1083"/>
      <c r="K412" s="1083"/>
      <c r="L412" s="932"/>
    </row>
    <row r="413" spans="1:12" s="106" customFormat="1" ht="15.75" hidden="1" customHeight="1" outlineLevel="1">
      <c r="A413" s="932"/>
      <c r="B413" s="1086"/>
      <c r="C413" s="1095"/>
      <c r="D413" s="1091"/>
      <c r="E413" s="1091"/>
      <c r="F413" s="1093"/>
      <c r="G413" s="98"/>
      <c r="H413" s="839"/>
      <c r="I413" s="1091"/>
      <c r="J413" s="1084"/>
      <c r="K413" s="1084"/>
      <c r="L413" s="932"/>
    </row>
    <row r="414" spans="1:12" s="106" customFormat="1" ht="15.75" hidden="1" customHeight="1" outlineLevel="1">
      <c r="A414" s="932"/>
      <c r="B414" s="1087"/>
      <c r="C414" s="1096"/>
      <c r="D414" s="1092"/>
      <c r="E414" s="1092"/>
      <c r="F414" s="1094"/>
      <c r="G414" s="103"/>
      <c r="H414" s="840"/>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839"/>
      <c r="I415" s="1091"/>
      <c r="J415" s="1083"/>
      <c r="K415" s="1083"/>
      <c r="L415" s="932"/>
    </row>
    <row r="416" spans="1:12" s="106" customFormat="1" ht="15.75" hidden="1" customHeight="1" outlineLevel="1">
      <c r="A416" s="932"/>
      <c r="B416" s="1086"/>
      <c r="C416" s="1095"/>
      <c r="D416" s="1091"/>
      <c r="E416" s="1091"/>
      <c r="F416" s="1093"/>
      <c r="G416" s="98"/>
      <c r="H416" s="839"/>
      <c r="I416" s="1091"/>
      <c r="J416" s="1084"/>
      <c r="K416" s="1084"/>
      <c r="L416" s="932"/>
    </row>
    <row r="417" spans="1:12" s="106" customFormat="1" ht="15.75" hidden="1" customHeight="1" outlineLevel="1">
      <c r="A417" s="932"/>
      <c r="B417" s="1087"/>
      <c r="C417" s="1096"/>
      <c r="D417" s="1092"/>
      <c r="E417" s="1092"/>
      <c r="F417" s="1094"/>
      <c r="G417" s="103"/>
      <c r="H417" s="840"/>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839"/>
      <c r="I418" s="1091"/>
      <c r="J418" s="1083"/>
      <c r="K418" s="1083"/>
      <c r="L418" s="932"/>
    </row>
    <row r="419" spans="1:12" s="106" customFormat="1" ht="15.75" hidden="1" customHeight="1" outlineLevel="1">
      <c r="A419" s="932"/>
      <c r="B419" s="1086"/>
      <c r="C419" s="1095"/>
      <c r="D419" s="1091"/>
      <c r="E419" s="1091"/>
      <c r="F419" s="1093"/>
      <c r="G419" s="98"/>
      <c r="H419" s="839"/>
      <c r="I419" s="1091"/>
      <c r="J419" s="1084"/>
      <c r="K419" s="1084"/>
      <c r="L419" s="932"/>
    </row>
    <row r="420" spans="1:12" s="106" customFormat="1" ht="15.75" hidden="1" customHeight="1" outlineLevel="1">
      <c r="A420" s="932"/>
      <c r="B420" s="1087"/>
      <c r="C420" s="1096"/>
      <c r="D420" s="1092"/>
      <c r="E420" s="1092"/>
      <c r="F420" s="1094"/>
      <c r="G420" s="103"/>
      <c r="H420" s="840"/>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839"/>
      <c r="I421" s="1091"/>
      <c r="J421" s="1083"/>
      <c r="K421" s="1083"/>
      <c r="L421" s="932"/>
    </row>
    <row r="422" spans="1:12" s="106" customFormat="1" ht="15.75" hidden="1" customHeight="1" outlineLevel="1">
      <c r="A422" s="932"/>
      <c r="B422" s="1086"/>
      <c r="C422" s="1095"/>
      <c r="D422" s="1091"/>
      <c r="E422" s="1091"/>
      <c r="F422" s="1093"/>
      <c r="G422" s="98"/>
      <c r="H422" s="839"/>
      <c r="I422" s="1091"/>
      <c r="J422" s="1084"/>
      <c r="K422" s="1084"/>
      <c r="L422" s="932"/>
    </row>
    <row r="423" spans="1:12" s="106" customFormat="1" ht="15.75" hidden="1" customHeight="1" outlineLevel="1">
      <c r="A423" s="932"/>
      <c r="B423" s="1087"/>
      <c r="C423" s="1096"/>
      <c r="D423" s="1092"/>
      <c r="E423" s="1092"/>
      <c r="F423" s="1094"/>
      <c r="G423" s="103"/>
      <c r="H423" s="840"/>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839"/>
      <c r="I424" s="1091"/>
      <c r="J424" s="1083"/>
      <c r="K424" s="1083"/>
      <c r="L424" s="932"/>
    </row>
    <row r="425" spans="1:12" s="106" customFormat="1" ht="15.75" hidden="1" customHeight="1" outlineLevel="1">
      <c r="A425" s="932"/>
      <c r="B425" s="1086"/>
      <c r="C425" s="1095"/>
      <c r="D425" s="1091"/>
      <c r="E425" s="1091"/>
      <c r="F425" s="1093"/>
      <c r="G425" s="98"/>
      <c r="H425" s="839"/>
      <c r="I425" s="1091"/>
      <c r="J425" s="1084"/>
      <c r="K425" s="1084"/>
      <c r="L425" s="932"/>
    </row>
    <row r="426" spans="1:12" s="106" customFormat="1" ht="15.75" hidden="1" customHeight="1" outlineLevel="1">
      <c r="A426" s="932"/>
      <c r="B426" s="1087"/>
      <c r="C426" s="1096"/>
      <c r="D426" s="1092"/>
      <c r="E426" s="1092"/>
      <c r="F426" s="1094"/>
      <c r="G426" s="103"/>
      <c r="H426" s="840"/>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839"/>
      <c r="I427" s="1091"/>
      <c r="J427" s="1083"/>
      <c r="K427" s="1083"/>
      <c r="L427" s="932"/>
    </row>
    <row r="428" spans="1:12" s="106" customFormat="1" ht="15.75" hidden="1" customHeight="1" outlineLevel="1">
      <c r="A428" s="932"/>
      <c r="B428" s="1086"/>
      <c r="C428" s="1095"/>
      <c r="D428" s="1091"/>
      <c r="E428" s="1091"/>
      <c r="F428" s="1093"/>
      <c r="G428" s="98"/>
      <c r="H428" s="839"/>
      <c r="I428" s="1091"/>
      <c r="J428" s="1084"/>
      <c r="K428" s="1084"/>
      <c r="L428" s="932"/>
    </row>
    <row r="429" spans="1:12" s="106" customFormat="1" ht="15.75" hidden="1" customHeight="1" outlineLevel="1">
      <c r="A429" s="932"/>
      <c r="B429" s="1087"/>
      <c r="C429" s="1096"/>
      <c r="D429" s="1092"/>
      <c r="E429" s="1092"/>
      <c r="F429" s="1094"/>
      <c r="G429" s="103"/>
      <c r="H429" s="840"/>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839"/>
      <c r="I430" s="1091"/>
      <c r="J430" s="1083"/>
      <c r="K430" s="1083"/>
      <c r="L430" s="932"/>
    </row>
    <row r="431" spans="1:12" s="106" customFormat="1" ht="15.75" hidden="1" customHeight="1" outlineLevel="1">
      <c r="A431" s="932"/>
      <c r="B431" s="1086"/>
      <c r="C431" s="1095"/>
      <c r="D431" s="1091"/>
      <c r="E431" s="1091"/>
      <c r="F431" s="1093"/>
      <c r="G431" s="98"/>
      <c r="H431" s="839"/>
      <c r="I431" s="1091"/>
      <c r="J431" s="1084"/>
      <c r="K431" s="1084"/>
      <c r="L431" s="932"/>
    </row>
    <row r="432" spans="1:12" s="106" customFormat="1" ht="15.75" hidden="1" customHeight="1" outlineLevel="1">
      <c r="A432" s="932"/>
      <c r="B432" s="1087"/>
      <c r="C432" s="1096"/>
      <c r="D432" s="1092"/>
      <c r="E432" s="1092"/>
      <c r="F432" s="1094"/>
      <c r="G432" s="103"/>
      <c r="H432" s="840"/>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839"/>
      <c r="I433" s="1091"/>
      <c r="J433" s="1083"/>
      <c r="K433" s="1083"/>
      <c r="L433" s="932"/>
    </row>
    <row r="434" spans="1:12" s="106" customFormat="1" ht="15.75" hidden="1" customHeight="1" outlineLevel="1">
      <c r="A434" s="932"/>
      <c r="B434" s="1086"/>
      <c r="C434" s="1095"/>
      <c r="D434" s="1091"/>
      <c r="E434" s="1091"/>
      <c r="F434" s="1093"/>
      <c r="G434" s="98"/>
      <c r="H434" s="839"/>
      <c r="I434" s="1091"/>
      <c r="J434" s="1084"/>
      <c r="K434" s="1084"/>
      <c r="L434" s="932"/>
    </row>
    <row r="435" spans="1:12" s="106" customFormat="1" ht="15.75" hidden="1" customHeight="1" outlineLevel="1">
      <c r="A435" s="932"/>
      <c r="B435" s="1087"/>
      <c r="C435" s="1096"/>
      <c r="D435" s="1092"/>
      <c r="E435" s="1092"/>
      <c r="F435" s="1094"/>
      <c r="G435" s="103"/>
      <c r="H435" s="840"/>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839"/>
      <c r="I436" s="1091"/>
      <c r="J436" s="1083"/>
      <c r="K436" s="1083"/>
      <c r="L436" s="932"/>
    </row>
    <row r="437" spans="1:12" s="106" customFormat="1" ht="15.75" hidden="1" customHeight="1" outlineLevel="1">
      <c r="A437" s="932"/>
      <c r="B437" s="1086"/>
      <c r="C437" s="1095"/>
      <c r="D437" s="1091"/>
      <c r="E437" s="1091"/>
      <c r="F437" s="1093"/>
      <c r="G437" s="98"/>
      <c r="H437" s="839"/>
      <c r="I437" s="1091"/>
      <c r="J437" s="1084"/>
      <c r="K437" s="1084"/>
      <c r="L437" s="932"/>
    </row>
    <row r="438" spans="1:12" s="106" customFormat="1" ht="15.75" hidden="1" customHeight="1" outlineLevel="1">
      <c r="A438" s="932"/>
      <c r="B438" s="1087"/>
      <c r="C438" s="1096"/>
      <c r="D438" s="1092"/>
      <c r="E438" s="1092"/>
      <c r="F438" s="1094"/>
      <c r="G438" s="103"/>
      <c r="H438" s="840"/>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839"/>
      <c r="I439" s="1091"/>
      <c r="J439" s="1083"/>
      <c r="K439" s="1083"/>
      <c r="L439" s="932"/>
    </row>
    <row r="440" spans="1:12" s="106" customFormat="1" ht="15.75" hidden="1" customHeight="1" outlineLevel="1">
      <c r="A440" s="932"/>
      <c r="B440" s="1086"/>
      <c r="C440" s="1095"/>
      <c r="D440" s="1091"/>
      <c r="E440" s="1091"/>
      <c r="F440" s="1093"/>
      <c r="G440" s="98"/>
      <c r="H440" s="839"/>
      <c r="I440" s="1091"/>
      <c r="J440" s="1084"/>
      <c r="K440" s="1084"/>
      <c r="L440" s="932"/>
    </row>
    <row r="441" spans="1:12" s="106" customFormat="1" ht="15.75" hidden="1" customHeight="1" outlineLevel="1">
      <c r="A441" s="932"/>
      <c r="B441" s="1087"/>
      <c r="C441" s="1096"/>
      <c r="D441" s="1092"/>
      <c r="E441" s="1092"/>
      <c r="F441" s="1094"/>
      <c r="G441" s="103"/>
      <c r="H441" s="840"/>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839"/>
      <c r="I442" s="1091"/>
      <c r="J442" s="1083"/>
      <c r="K442" s="1083"/>
      <c r="L442" s="932"/>
    </row>
    <row r="443" spans="1:12" s="106" customFormat="1" ht="15.75" hidden="1" customHeight="1" outlineLevel="1">
      <c r="A443" s="932"/>
      <c r="B443" s="1086"/>
      <c r="C443" s="1095"/>
      <c r="D443" s="1091"/>
      <c r="E443" s="1091"/>
      <c r="F443" s="1093"/>
      <c r="G443" s="98"/>
      <c r="H443" s="839"/>
      <c r="I443" s="1091"/>
      <c r="J443" s="1084"/>
      <c r="K443" s="1084"/>
      <c r="L443" s="932"/>
    </row>
    <row r="444" spans="1:12" s="106" customFormat="1" ht="15.75" hidden="1" customHeight="1" outlineLevel="1">
      <c r="A444" s="932"/>
      <c r="B444" s="1087"/>
      <c r="C444" s="1096"/>
      <c r="D444" s="1092"/>
      <c r="E444" s="1092"/>
      <c r="F444" s="1094"/>
      <c r="G444" s="103"/>
      <c r="H444" s="840"/>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839"/>
      <c r="I445" s="1091"/>
      <c r="J445" s="1083"/>
      <c r="K445" s="1083"/>
      <c r="L445" s="932"/>
    </row>
    <row r="446" spans="1:12" s="106" customFormat="1" ht="15.75" hidden="1" customHeight="1" outlineLevel="1">
      <c r="A446" s="932"/>
      <c r="B446" s="1086"/>
      <c r="C446" s="1095"/>
      <c r="D446" s="1091"/>
      <c r="E446" s="1091"/>
      <c r="F446" s="1093"/>
      <c r="G446" s="98"/>
      <c r="H446" s="839"/>
      <c r="I446" s="1091"/>
      <c r="J446" s="1084"/>
      <c r="K446" s="1084"/>
      <c r="L446" s="932"/>
    </row>
    <row r="447" spans="1:12" s="106" customFormat="1" ht="15.75" hidden="1" customHeight="1" outlineLevel="1">
      <c r="A447" s="932"/>
      <c r="B447" s="1087"/>
      <c r="C447" s="1096"/>
      <c r="D447" s="1092"/>
      <c r="E447" s="1092"/>
      <c r="F447" s="1094"/>
      <c r="G447" s="103"/>
      <c r="H447" s="840"/>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839"/>
      <c r="I448" s="1091"/>
      <c r="J448" s="1083"/>
      <c r="K448" s="1083"/>
      <c r="L448" s="932"/>
    </row>
    <row r="449" spans="1:12" s="106" customFormat="1" ht="15.75" hidden="1" customHeight="1" outlineLevel="1">
      <c r="A449" s="932"/>
      <c r="B449" s="1086"/>
      <c r="C449" s="1095"/>
      <c r="D449" s="1091"/>
      <c r="E449" s="1091"/>
      <c r="F449" s="1093"/>
      <c r="G449" s="98"/>
      <c r="H449" s="839"/>
      <c r="I449" s="1091"/>
      <c r="J449" s="1084"/>
      <c r="K449" s="1084"/>
      <c r="L449" s="932"/>
    </row>
    <row r="450" spans="1:12" s="106" customFormat="1" ht="15.75" hidden="1" customHeight="1" outlineLevel="1">
      <c r="A450" s="932"/>
      <c r="B450" s="1087"/>
      <c r="C450" s="1096"/>
      <c r="D450" s="1092"/>
      <c r="E450" s="1092"/>
      <c r="F450" s="1094"/>
      <c r="G450" s="103"/>
      <c r="H450" s="840"/>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839"/>
      <c r="I451" s="1091"/>
      <c r="J451" s="1083"/>
      <c r="K451" s="1083"/>
      <c r="L451" s="932"/>
    </row>
    <row r="452" spans="1:12" s="106" customFormat="1" ht="15.75" hidden="1" customHeight="1" outlineLevel="1">
      <c r="A452" s="932"/>
      <c r="B452" s="1086"/>
      <c r="C452" s="1095"/>
      <c r="D452" s="1091"/>
      <c r="E452" s="1091"/>
      <c r="F452" s="1093"/>
      <c r="G452" s="98"/>
      <c r="H452" s="839"/>
      <c r="I452" s="1091"/>
      <c r="J452" s="1084"/>
      <c r="K452" s="1084"/>
      <c r="L452" s="932"/>
    </row>
    <row r="453" spans="1:12" s="106" customFormat="1" ht="15.75" hidden="1" customHeight="1" outlineLevel="1">
      <c r="A453" s="932"/>
      <c r="B453" s="1087"/>
      <c r="C453" s="1096"/>
      <c r="D453" s="1092"/>
      <c r="E453" s="1092"/>
      <c r="F453" s="1094"/>
      <c r="G453" s="103"/>
      <c r="H453" s="840"/>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839"/>
      <c r="I454" s="1091"/>
      <c r="J454" s="1083"/>
      <c r="K454" s="1083"/>
      <c r="L454" s="932"/>
    </row>
    <row r="455" spans="1:12" s="106" customFormat="1" ht="15.75" hidden="1" customHeight="1" outlineLevel="1">
      <c r="A455" s="932"/>
      <c r="B455" s="1086"/>
      <c r="C455" s="1095"/>
      <c r="D455" s="1091"/>
      <c r="E455" s="1091"/>
      <c r="F455" s="1093"/>
      <c r="G455" s="98"/>
      <c r="H455" s="839"/>
      <c r="I455" s="1091"/>
      <c r="J455" s="1084"/>
      <c r="K455" s="1084"/>
      <c r="L455" s="932"/>
    </row>
    <row r="456" spans="1:12" s="106" customFormat="1" ht="15.75" hidden="1" customHeight="1" outlineLevel="1">
      <c r="A456" s="932"/>
      <c r="B456" s="1087"/>
      <c r="C456" s="1096"/>
      <c r="D456" s="1092"/>
      <c r="E456" s="1092"/>
      <c r="F456" s="1094"/>
      <c r="G456" s="103"/>
      <c r="H456" s="840"/>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839"/>
      <c r="I457" s="1091"/>
      <c r="J457" s="1083"/>
      <c r="K457" s="1083"/>
      <c r="L457" s="932"/>
    </row>
    <row r="458" spans="1:12" s="106" customFormat="1" ht="15.75" hidden="1" customHeight="1" outlineLevel="1">
      <c r="A458" s="932"/>
      <c r="B458" s="1086"/>
      <c r="C458" s="1095"/>
      <c r="D458" s="1091"/>
      <c r="E458" s="1091"/>
      <c r="F458" s="1093"/>
      <c r="G458" s="98"/>
      <c r="H458" s="839"/>
      <c r="I458" s="1091"/>
      <c r="J458" s="1084"/>
      <c r="K458" s="1084"/>
      <c r="L458" s="932"/>
    </row>
    <row r="459" spans="1:12" s="106" customFormat="1" ht="15.75" hidden="1" customHeight="1" outlineLevel="1">
      <c r="A459" s="932"/>
      <c r="B459" s="1087"/>
      <c r="C459" s="1096"/>
      <c r="D459" s="1092"/>
      <c r="E459" s="1092"/>
      <c r="F459" s="1094"/>
      <c r="G459" s="103"/>
      <c r="H459" s="840"/>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839"/>
      <c r="I460" s="1091"/>
      <c r="J460" s="1083"/>
      <c r="K460" s="1083"/>
      <c r="L460" s="932"/>
    </row>
    <row r="461" spans="1:12" s="106" customFormat="1" ht="15.75" hidden="1" customHeight="1" outlineLevel="1">
      <c r="A461" s="932"/>
      <c r="B461" s="1086"/>
      <c r="C461" s="1095"/>
      <c r="D461" s="1091"/>
      <c r="E461" s="1091"/>
      <c r="F461" s="1093"/>
      <c r="G461" s="98"/>
      <c r="H461" s="839"/>
      <c r="I461" s="1091"/>
      <c r="J461" s="1084"/>
      <c r="K461" s="1084"/>
      <c r="L461" s="932"/>
    </row>
    <row r="462" spans="1:12" s="106" customFormat="1" ht="15.75" hidden="1" customHeight="1" outlineLevel="1">
      <c r="A462" s="932"/>
      <c r="B462" s="1087"/>
      <c r="C462" s="1096"/>
      <c r="D462" s="1092"/>
      <c r="E462" s="1092"/>
      <c r="F462" s="1094"/>
      <c r="G462" s="103"/>
      <c r="H462" s="840"/>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839"/>
      <c r="I463" s="1091"/>
      <c r="J463" s="1083"/>
      <c r="K463" s="1083"/>
      <c r="L463" s="932"/>
    </row>
    <row r="464" spans="1:12" s="106" customFormat="1" ht="15.75" hidden="1" customHeight="1" outlineLevel="1">
      <c r="A464" s="932"/>
      <c r="B464" s="1086"/>
      <c r="C464" s="1095"/>
      <c r="D464" s="1091"/>
      <c r="E464" s="1091"/>
      <c r="F464" s="1093"/>
      <c r="G464" s="98"/>
      <c r="H464" s="839"/>
      <c r="I464" s="1091"/>
      <c r="J464" s="1084"/>
      <c r="K464" s="1084"/>
      <c r="L464" s="932"/>
    </row>
    <row r="465" spans="1:12" s="106" customFormat="1" ht="15.75" hidden="1" customHeight="1" outlineLevel="1">
      <c r="A465" s="932"/>
      <c r="B465" s="1087"/>
      <c r="C465" s="1096"/>
      <c r="D465" s="1092"/>
      <c r="E465" s="1092"/>
      <c r="F465" s="1094"/>
      <c r="G465" s="103"/>
      <c r="H465" s="840"/>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839"/>
      <c r="I466" s="1091"/>
      <c r="J466" s="1083"/>
      <c r="K466" s="1083"/>
      <c r="L466" s="932"/>
    </row>
    <row r="467" spans="1:12" s="106" customFormat="1" ht="15.75" hidden="1" customHeight="1" outlineLevel="1">
      <c r="A467" s="932"/>
      <c r="B467" s="1086"/>
      <c r="C467" s="1095"/>
      <c r="D467" s="1091"/>
      <c r="E467" s="1091"/>
      <c r="F467" s="1093"/>
      <c r="G467" s="98"/>
      <c r="H467" s="839"/>
      <c r="I467" s="1091"/>
      <c r="J467" s="1084"/>
      <c r="K467" s="1084"/>
      <c r="L467" s="932"/>
    </row>
    <row r="468" spans="1:12" s="106" customFormat="1" ht="15.75" hidden="1" customHeight="1" outlineLevel="1">
      <c r="A468" s="932"/>
      <c r="B468" s="1087"/>
      <c r="C468" s="1096"/>
      <c r="D468" s="1092"/>
      <c r="E468" s="1092"/>
      <c r="F468" s="1094"/>
      <c r="G468" s="103"/>
      <c r="H468" s="840"/>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839"/>
      <c r="I469" s="1091"/>
      <c r="J469" s="1083"/>
      <c r="K469" s="1083"/>
      <c r="L469" s="932"/>
    </row>
    <row r="470" spans="1:12" s="106" customFormat="1" ht="15.75" hidden="1" customHeight="1" outlineLevel="1">
      <c r="A470" s="932"/>
      <c r="B470" s="1086"/>
      <c r="C470" s="1095"/>
      <c r="D470" s="1091"/>
      <c r="E470" s="1091"/>
      <c r="F470" s="1093"/>
      <c r="G470" s="98"/>
      <c r="H470" s="839"/>
      <c r="I470" s="1091"/>
      <c r="J470" s="1084"/>
      <c r="K470" s="1084"/>
      <c r="L470" s="932"/>
    </row>
    <row r="471" spans="1:12" s="106" customFormat="1" ht="15.75" hidden="1" customHeight="1" outlineLevel="1">
      <c r="A471" s="932"/>
      <c r="B471" s="1087"/>
      <c r="C471" s="1096"/>
      <c r="D471" s="1092"/>
      <c r="E471" s="1092"/>
      <c r="F471" s="1094"/>
      <c r="G471" s="103"/>
      <c r="H471" s="840"/>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839"/>
      <c r="I472" s="1091"/>
      <c r="J472" s="1083"/>
      <c r="K472" s="1083"/>
      <c r="L472" s="932"/>
    </row>
    <row r="473" spans="1:12" s="106" customFormat="1" ht="15.75" hidden="1" customHeight="1" outlineLevel="1">
      <c r="A473" s="932"/>
      <c r="B473" s="1086"/>
      <c r="C473" s="1095"/>
      <c r="D473" s="1091"/>
      <c r="E473" s="1091"/>
      <c r="F473" s="1093"/>
      <c r="G473" s="98"/>
      <c r="H473" s="839"/>
      <c r="I473" s="1091"/>
      <c r="J473" s="1084"/>
      <c r="K473" s="1084"/>
      <c r="L473" s="932"/>
    </row>
    <row r="474" spans="1:12" s="106" customFormat="1" ht="15.75" hidden="1" customHeight="1" outlineLevel="1">
      <c r="A474" s="932"/>
      <c r="B474" s="1087"/>
      <c r="C474" s="1096"/>
      <c r="D474" s="1092"/>
      <c r="E474" s="1092"/>
      <c r="F474" s="1094"/>
      <c r="G474" s="103"/>
      <c r="H474" s="840"/>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839"/>
      <c r="I475" s="1091"/>
      <c r="J475" s="1083"/>
      <c r="K475" s="1083"/>
      <c r="L475" s="932"/>
    </row>
    <row r="476" spans="1:12" s="106" customFormat="1" ht="15.75" hidden="1" customHeight="1" outlineLevel="1">
      <c r="A476" s="932"/>
      <c r="B476" s="1086"/>
      <c r="C476" s="1095"/>
      <c r="D476" s="1091"/>
      <c r="E476" s="1091"/>
      <c r="F476" s="1093"/>
      <c r="G476" s="98"/>
      <c r="H476" s="839"/>
      <c r="I476" s="1091"/>
      <c r="J476" s="1084"/>
      <c r="K476" s="1084"/>
      <c r="L476" s="932"/>
    </row>
    <row r="477" spans="1:12" s="106" customFormat="1" ht="15.75" hidden="1" customHeight="1" outlineLevel="1">
      <c r="A477" s="932"/>
      <c r="B477" s="1087"/>
      <c r="C477" s="1096"/>
      <c r="D477" s="1092"/>
      <c r="E477" s="1092"/>
      <c r="F477" s="1094"/>
      <c r="G477" s="103"/>
      <c r="H477" s="840"/>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839"/>
      <c r="I478" s="1091"/>
      <c r="J478" s="1083"/>
      <c r="K478" s="1083"/>
      <c r="L478" s="932"/>
    </row>
    <row r="479" spans="1:12" s="106" customFormat="1" ht="15.75" hidden="1" customHeight="1" outlineLevel="1">
      <c r="A479" s="932"/>
      <c r="B479" s="1086"/>
      <c r="C479" s="1095"/>
      <c r="D479" s="1091"/>
      <c r="E479" s="1091"/>
      <c r="F479" s="1093"/>
      <c r="G479" s="98"/>
      <c r="H479" s="839"/>
      <c r="I479" s="1091"/>
      <c r="J479" s="1084"/>
      <c r="K479" s="1084"/>
      <c r="L479" s="932"/>
    </row>
    <row r="480" spans="1:12" s="106" customFormat="1" ht="15.75" hidden="1" customHeight="1" outlineLevel="1">
      <c r="A480" s="932"/>
      <c r="B480" s="1087"/>
      <c r="C480" s="1096"/>
      <c r="D480" s="1092"/>
      <c r="E480" s="1092"/>
      <c r="F480" s="1094"/>
      <c r="G480" s="103"/>
      <c r="H480" s="840"/>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839"/>
      <c r="I481" s="1091"/>
      <c r="J481" s="1083"/>
      <c r="K481" s="1083"/>
      <c r="L481" s="932"/>
    </row>
    <row r="482" spans="1:12" s="106" customFormat="1" ht="15.75" hidden="1" customHeight="1" outlineLevel="1">
      <c r="A482" s="932"/>
      <c r="B482" s="1086"/>
      <c r="C482" s="1095"/>
      <c r="D482" s="1091"/>
      <c r="E482" s="1091"/>
      <c r="F482" s="1093"/>
      <c r="G482" s="98"/>
      <c r="H482" s="839"/>
      <c r="I482" s="1091"/>
      <c r="J482" s="1084"/>
      <c r="K482" s="1084"/>
      <c r="L482" s="932"/>
    </row>
    <row r="483" spans="1:12" s="106" customFormat="1" ht="15.75" hidden="1" customHeight="1" outlineLevel="1">
      <c r="A483" s="932"/>
      <c r="B483" s="1087"/>
      <c r="C483" s="1096"/>
      <c r="D483" s="1092"/>
      <c r="E483" s="1092"/>
      <c r="F483" s="1094"/>
      <c r="G483" s="103"/>
      <c r="H483" s="840"/>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839"/>
      <c r="I484" s="1091"/>
      <c r="J484" s="1083"/>
      <c r="K484" s="1083"/>
      <c r="L484" s="932"/>
    </row>
    <row r="485" spans="1:12" s="106" customFormat="1" ht="15.75" hidden="1" customHeight="1" outlineLevel="1">
      <c r="A485" s="932"/>
      <c r="B485" s="1086"/>
      <c r="C485" s="1095"/>
      <c r="D485" s="1091"/>
      <c r="E485" s="1091"/>
      <c r="F485" s="1093"/>
      <c r="G485" s="98"/>
      <c r="H485" s="839"/>
      <c r="I485" s="1091"/>
      <c r="J485" s="1084"/>
      <c r="K485" s="1084"/>
      <c r="L485" s="932"/>
    </row>
    <row r="486" spans="1:12" s="106" customFormat="1" ht="15.75" hidden="1" customHeight="1" outlineLevel="1">
      <c r="A486" s="932"/>
      <c r="B486" s="1087"/>
      <c r="C486" s="1096"/>
      <c r="D486" s="1092"/>
      <c r="E486" s="1092"/>
      <c r="F486" s="1094"/>
      <c r="G486" s="103"/>
      <c r="H486" s="840"/>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839"/>
      <c r="I487" s="1091"/>
      <c r="J487" s="1083"/>
      <c r="K487" s="1083"/>
      <c r="L487" s="932"/>
    </row>
    <row r="488" spans="1:12" s="106" customFormat="1" ht="15.75" hidden="1" customHeight="1" outlineLevel="1">
      <c r="A488" s="932"/>
      <c r="B488" s="1086"/>
      <c r="C488" s="1095"/>
      <c r="D488" s="1091"/>
      <c r="E488" s="1091"/>
      <c r="F488" s="1093"/>
      <c r="G488" s="98"/>
      <c r="H488" s="839"/>
      <c r="I488" s="1091"/>
      <c r="J488" s="1084"/>
      <c r="K488" s="1084"/>
      <c r="L488" s="932"/>
    </row>
    <row r="489" spans="1:12" s="106" customFormat="1" ht="15.75" hidden="1" customHeight="1" outlineLevel="1">
      <c r="A489" s="932"/>
      <c r="B489" s="1087"/>
      <c r="C489" s="1096"/>
      <c r="D489" s="1092"/>
      <c r="E489" s="1092"/>
      <c r="F489" s="1094"/>
      <c r="G489" s="103"/>
      <c r="H489" s="840"/>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839"/>
      <c r="I490" s="1091"/>
      <c r="J490" s="1083"/>
      <c r="K490" s="1083"/>
      <c r="L490" s="932"/>
    </row>
    <row r="491" spans="1:12" s="106" customFormat="1" ht="15.75" hidden="1" customHeight="1" outlineLevel="1">
      <c r="A491" s="932"/>
      <c r="B491" s="1086"/>
      <c r="C491" s="1095"/>
      <c r="D491" s="1091"/>
      <c r="E491" s="1091"/>
      <c r="F491" s="1093"/>
      <c r="G491" s="98"/>
      <c r="H491" s="839"/>
      <c r="I491" s="1091"/>
      <c r="J491" s="1084"/>
      <c r="K491" s="1084"/>
      <c r="L491" s="932"/>
    </row>
    <row r="492" spans="1:12" s="106" customFormat="1" ht="15.75" hidden="1" customHeight="1" outlineLevel="1">
      <c r="A492" s="932"/>
      <c r="B492" s="1087"/>
      <c r="C492" s="1096"/>
      <c r="D492" s="1092"/>
      <c r="E492" s="1092"/>
      <c r="F492" s="1094"/>
      <c r="G492" s="103"/>
      <c r="H492" s="840"/>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839"/>
      <c r="I493" s="1091"/>
      <c r="J493" s="1083"/>
      <c r="K493" s="1083"/>
      <c r="L493" s="932"/>
    </row>
    <row r="494" spans="1:12" s="106" customFormat="1" ht="15.75" hidden="1" customHeight="1" outlineLevel="1">
      <c r="A494" s="932"/>
      <c r="B494" s="1086"/>
      <c r="C494" s="1095"/>
      <c r="D494" s="1091"/>
      <c r="E494" s="1091"/>
      <c r="F494" s="1093"/>
      <c r="G494" s="98"/>
      <c r="H494" s="839"/>
      <c r="I494" s="1091"/>
      <c r="J494" s="1084"/>
      <c r="K494" s="1084"/>
      <c r="L494" s="932"/>
    </row>
    <row r="495" spans="1:12" s="106" customFormat="1" ht="15.75" hidden="1" customHeight="1" outlineLevel="1">
      <c r="A495" s="932"/>
      <c r="B495" s="1087"/>
      <c r="C495" s="1096"/>
      <c r="D495" s="1092"/>
      <c r="E495" s="1092"/>
      <c r="F495" s="1094"/>
      <c r="G495" s="103"/>
      <c r="H495" s="840"/>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839"/>
      <c r="I496" s="1091"/>
      <c r="J496" s="1083"/>
      <c r="K496" s="1083"/>
      <c r="L496" s="932"/>
    </row>
    <row r="497" spans="1:12" s="106" customFormat="1" ht="15.75" hidden="1" customHeight="1" outlineLevel="1">
      <c r="A497" s="932"/>
      <c r="B497" s="1086"/>
      <c r="C497" s="1095"/>
      <c r="D497" s="1091"/>
      <c r="E497" s="1091"/>
      <c r="F497" s="1093"/>
      <c r="G497" s="98"/>
      <c r="H497" s="839"/>
      <c r="I497" s="1091"/>
      <c r="J497" s="1084"/>
      <c r="K497" s="1084"/>
      <c r="L497" s="932"/>
    </row>
    <row r="498" spans="1:12" s="106" customFormat="1" ht="15.75" hidden="1" customHeight="1" outlineLevel="1">
      <c r="A498" s="932"/>
      <c r="B498" s="1087"/>
      <c r="C498" s="1096"/>
      <c r="D498" s="1092"/>
      <c r="E498" s="1092"/>
      <c r="F498" s="1094"/>
      <c r="G498" s="103"/>
      <c r="H498" s="840"/>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839"/>
      <c r="I499" s="1091"/>
      <c r="J499" s="1083"/>
      <c r="K499" s="1083"/>
      <c r="L499" s="932"/>
    </row>
    <row r="500" spans="1:12" s="106" customFormat="1" ht="15.75" hidden="1" customHeight="1" outlineLevel="1">
      <c r="A500" s="932"/>
      <c r="B500" s="1086"/>
      <c r="C500" s="1095"/>
      <c r="D500" s="1091"/>
      <c r="E500" s="1091"/>
      <c r="F500" s="1093"/>
      <c r="G500" s="98"/>
      <c r="H500" s="839"/>
      <c r="I500" s="1091"/>
      <c r="J500" s="1084"/>
      <c r="K500" s="1084"/>
      <c r="L500" s="932"/>
    </row>
    <row r="501" spans="1:12" s="106" customFormat="1" ht="15.75" hidden="1" customHeight="1" outlineLevel="1">
      <c r="A501" s="932"/>
      <c r="B501" s="1087"/>
      <c r="C501" s="1096"/>
      <c r="D501" s="1092"/>
      <c r="E501" s="1092"/>
      <c r="F501" s="1094"/>
      <c r="G501" s="103"/>
      <c r="H501" s="840"/>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839"/>
      <c r="I502" s="1091"/>
      <c r="J502" s="1083"/>
      <c r="K502" s="1083"/>
      <c r="L502" s="932"/>
    </row>
    <row r="503" spans="1:12" s="106" customFormat="1" ht="15.75" hidden="1" customHeight="1" outlineLevel="1">
      <c r="A503" s="932"/>
      <c r="B503" s="1086"/>
      <c r="C503" s="1095"/>
      <c r="D503" s="1091"/>
      <c r="E503" s="1091"/>
      <c r="F503" s="1093"/>
      <c r="G503" s="98"/>
      <c r="H503" s="839"/>
      <c r="I503" s="1091"/>
      <c r="J503" s="1084"/>
      <c r="K503" s="1084"/>
      <c r="L503" s="932"/>
    </row>
    <row r="504" spans="1:12" s="106" customFormat="1" ht="15.75" hidden="1" customHeight="1" outlineLevel="1">
      <c r="A504" s="932"/>
      <c r="B504" s="1087"/>
      <c r="C504" s="1096"/>
      <c r="D504" s="1092"/>
      <c r="E504" s="1092"/>
      <c r="F504" s="1094"/>
      <c r="G504" s="103"/>
      <c r="H504" s="840"/>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839"/>
      <c r="I505" s="1091"/>
      <c r="J505" s="1083"/>
      <c r="K505" s="1083"/>
      <c r="L505" s="932"/>
    </row>
    <row r="506" spans="1:12" s="106" customFormat="1" ht="15.75" hidden="1" customHeight="1" outlineLevel="1">
      <c r="A506" s="932"/>
      <c r="B506" s="1086"/>
      <c r="C506" s="1095"/>
      <c r="D506" s="1091"/>
      <c r="E506" s="1091"/>
      <c r="F506" s="1093"/>
      <c r="G506" s="98"/>
      <c r="H506" s="839"/>
      <c r="I506" s="1091"/>
      <c r="J506" s="1084"/>
      <c r="K506" s="1084"/>
      <c r="L506" s="932"/>
    </row>
    <row r="507" spans="1:12" s="106" customFormat="1" ht="15.75" hidden="1" customHeight="1" outlineLevel="1">
      <c r="A507" s="932"/>
      <c r="B507" s="1087"/>
      <c r="C507" s="1096"/>
      <c r="D507" s="1092"/>
      <c r="E507" s="1092"/>
      <c r="F507" s="1094"/>
      <c r="G507" s="103"/>
      <c r="H507" s="840"/>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839"/>
      <c r="I508" s="1091"/>
      <c r="J508" s="1083"/>
      <c r="K508" s="1083"/>
      <c r="L508" s="932"/>
    </row>
    <row r="509" spans="1:12" s="106" customFormat="1" ht="15.75" hidden="1" customHeight="1" outlineLevel="1">
      <c r="A509" s="932"/>
      <c r="B509" s="1086"/>
      <c r="C509" s="1095"/>
      <c r="D509" s="1091"/>
      <c r="E509" s="1091"/>
      <c r="F509" s="1093"/>
      <c r="G509" s="98"/>
      <c r="H509" s="839"/>
      <c r="I509" s="1091"/>
      <c r="J509" s="1084"/>
      <c r="K509" s="1084"/>
      <c r="L509" s="932"/>
    </row>
    <row r="510" spans="1:12" s="106" customFormat="1" ht="15.75" hidden="1" customHeight="1" outlineLevel="1">
      <c r="A510" s="932"/>
      <c r="B510" s="1087"/>
      <c r="C510" s="1096"/>
      <c r="D510" s="1092"/>
      <c r="E510" s="1092"/>
      <c r="F510" s="1094"/>
      <c r="G510" s="103"/>
      <c r="H510" s="840"/>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839"/>
      <c r="I511" s="1091"/>
      <c r="J511" s="1083"/>
      <c r="K511" s="1083"/>
      <c r="L511" s="932"/>
    </row>
    <row r="512" spans="1:12" s="106" customFormat="1" ht="15.75" hidden="1" customHeight="1" outlineLevel="1">
      <c r="A512" s="932"/>
      <c r="B512" s="1086"/>
      <c r="C512" s="1095"/>
      <c r="D512" s="1091"/>
      <c r="E512" s="1091"/>
      <c r="F512" s="1093"/>
      <c r="G512" s="98"/>
      <c r="H512" s="839"/>
      <c r="I512" s="1091"/>
      <c r="J512" s="1084"/>
      <c r="K512" s="1084"/>
      <c r="L512" s="932"/>
    </row>
    <row r="513" spans="1:12" s="106" customFormat="1" ht="15.75" hidden="1" customHeight="1" outlineLevel="1">
      <c r="A513" s="932"/>
      <c r="B513" s="1087"/>
      <c r="C513" s="1096"/>
      <c r="D513" s="1092"/>
      <c r="E513" s="1092"/>
      <c r="F513" s="1094"/>
      <c r="G513" s="103"/>
      <c r="H513" s="840"/>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839"/>
      <c r="I514" s="1091"/>
      <c r="J514" s="1083"/>
      <c r="K514" s="1083"/>
      <c r="L514" s="932"/>
    </row>
    <row r="515" spans="1:12" s="106" customFormat="1" ht="15.75" hidden="1" customHeight="1" outlineLevel="1">
      <c r="A515" s="932"/>
      <c r="B515" s="1086"/>
      <c r="C515" s="1095"/>
      <c r="D515" s="1091"/>
      <c r="E515" s="1091"/>
      <c r="F515" s="1093"/>
      <c r="G515" s="98"/>
      <c r="H515" s="839"/>
      <c r="I515" s="1091"/>
      <c r="J515" s="1084"/>
      <c r="K515" s="1084"/>
      <c r="L515" s="932"/>
    </row>
    <row r="516" spans="1:12" s="106" customFormat="1" ht="15.75" hidden="1" customHeight="1" outlineLevel="1">
      <c r="A516" s="932"/>
      <c r="B516" s="1087"/>
      <c r="C516" s="1096"/>
      <c r="D516" s="1092"/>
      <c r="E516" s="1092"/>
      <c r="F516" s="1094"/>
      <c r="G516" s="103"/>
      <c r="H516" s="840"/>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839"/>
      <c r="I517" s="1091"/>
      <c r="J517" s="1083"/>
      <c r="K517" s="1083"/>
      <c r="L517" s="932"/>
    </row>
    <row r="518" spans="1:12" s="106" customFormat="1" ht="15.75" hidden="1" customHeight="1" outlineLevel="1">
      <c r="A518" s="932"/>
      <c r="B518" s="1086"/>
      <c r="C518" s="1095"/>
      <c r="D518" s="1091"/>
      <c r="E518" s="1091"/>
      <c r="F518" s="1093"/>
      <c r="G518" s="98"/>
      <c r="H518" s="839"/>
      <c r="I518" s="1091"/>
      <c r="J518" s="1084"/>
      <c r="K518" s="1084"/>
      <c r="L518" s="932"/>
    </row>
    <row r="519" spans="1:12" s="106" customFormat="1" ht="15.75" hidden="1" customHeight="1" outlineLevel="1">
      <c r="A519" s="932"/>
      <c r="B519" s="1087"/>
      <c r="C519" s="1096"/>
      <c r="D519" s="1092"/>
      <c r="E519" s="1092"/>
      <c r="F519" s="1094"/>
      <c r="G519" s="103"/>
      <c r="H519" s="840"/>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839"/>
      <c r="I520" s="1091"/>
      <c r="J520" s="1083"/>
      <c r="K520" s="1083"/>
      <c r="L520" s="932"/>
    </row>
    <row r="521" spans="1:12" s="106" customFormat="1" ht="15.75" hidden="1" customHeight="1" outlineLevel="1">
      <c r="A521" s="932"/>
      <c r="B521" s="1086"/>
      <c r="C521" s="1095"/>
      <c r="D521" s="1091"/>
      <c r="E521" s="1091"/>
      <c r="F521" s="1093"/>
      <c r="G521" s="98"/>
      <c r="H521" s="839"/>
      <c r="I521" s="1091"/>
      <c r="J521" s="1084"/>
      <c r="K521" s="1084"/>
      <c r="L521" s="932"/>
    </row>
    <row r="522" spans="1:12" s="106" customFormat="1" ht="15.75" hidden="1" customHeight="1" outlineLevel="1">
      <c r="A522" s="932"/>
      <c r="B522" s="1087"/>
      <c r="C522" s="1096"/>
      <c r="D522" s="1092"/>
      <c r="E522" s="1092"/>
      <c r="F522" s="1094"/>
      <c r="G522" s="103"/>
      <c r="H522" s="840"/>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839"/>
      <c r="I523" s="1091"/>
      <c r="J523" s="1083"/>
      <c r="K523" s="1083"/>
      <c r="L523" s="932"/>
    </row>
    <row r="524" spans="1:12" s="106" customFormat="1" ht="15.75" hidden="1" customHeight="1" outlineLevel="1">
      <c r="A524" s="932"/>
      <c r="B524" s="1086"/>
      <c r="C524" s="1095"/>
      <c r="D524" s="1091"/>
      <c r="E524" s="1091"/>
      <c r="F524" s="1093"/>
      <c r="G524" s="98"/>
      <c r="H524" s="839"/>
      <c r="I524" s="1091"/>
      <c r="J524" s="1084"/>
      <c r="K524" s="1084"/>
      <c r="L524" s="932"/>
    </row>
    <row r="525" spans="1:12" s="106" customFormat="1" ht="15.75" hidden="1" customHeight="1" outlineLevel="1">
      <c r="A525" s="932"/>
      <c r="B525" s="1087"/>
      <c r="C525" s="1096"/>
      <c r="D525" s="1092"/>
      <c r="E525" s="1092"/>
      <c r="F525" s="1094"/>
      <c r="G525" s="103"/>
      <c r="H525" s="840"/>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839"/>
      <c r="I526" s="1091"/>
      <c r="J526" s="1083"/>
      <c r="K526" s="1083"/>
      <c r="L526" s="932"/>
    </row>
    <row r="527" spans="1:12" s="106" customFormat="1" ht="15.75" hidden="1" customHeight="1" outlineLevel="1">
      <c r="A527" s="932"/>
      <c r="B527" s="1086"/>
      <c r="C527" s="1095"/>
      <c r="D527" s="1091"/>
      <c r="E527" s="1091"/>
      <c r="F527" s="1093"/>
      <c r="G527" s="98"/>
      <c r="H527" s="839"/>
      <c r="I527" s="1091"/>
      <c r="J527" s="1084"/>
      <c r="K527" s="1084"/>
      <c r="L527" s="932"/>
    </row>
    <row r="528" spans="1:12" s="106" customFormat="1" ht="15.75" hidden="1" customHeight="1" outlineLevel="1">
      <c r="A528" s="932"/>
      <c r="B528" s="1087"/>
      <c r="C528" s="1096"/>
      <c r="D528" s="1092"/>
      <c r="E528" s="1092"/>
      <c r="F528" s="1094"/>
      <c r="G528" s="103"/>
      <c r="H528" s="840"/>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839"/>
      <c r="I529" s="1091"/>
      <c r="J529" s="1083"/>
      <c r="K529" s="1083"/>
      <c r="L529" s="932"/>
    </row>
    <row r="530" spans="1:12" s="106" customFormat="1" ht="15.75" hidden="1" customHeight="1" outlineLevel="1">
      <c r="A530" s="932"/>
      <c r="B530" s="1086"/>
      <c r="C530" s="1095"/>
      <c r="D530" s="1091"/>
      <c r="E530" s="1091"/>
      <c r="F530" s="1093"/>
      <c r="G530" s="98"/>
      <c r="H530" s="839"/>
      <c r="I530" s="1091"/>
      <c r="J530" s="1084"/>
      <c r="K530" s="1084"/>
      <c r="L530" s="932"/>
    </row>
    <row r="531" spans="1:12" s="106" customFormat="1" ht="15.75" hidden="1" customHeight="1" outlineLevel="1">
      <c r="A531" s="932"/>
      <c r="B531" s="1087"/>
      <c r="C531" s="1096"/>
      <c r="D531" s="1092"/>
      <c r="E531" s="1092"/>
      <c r="F531" s="1094"/>
      <c r="G531" s="103"/>
      <c r="H531" s="840"/>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839"/>
      <c r="I532" s="1091"/>
      <c r="J532" s="1083"/>
      <c r="K532" s="1083"/>
      <c r="L532" s="932"/>
    </row>
    <row r="533" spans="1:12" s="106" customFormat="1" ht="15.75" hidden="1" customHeight="1" outlineLevel="1">
      <c r="A533" s="932"/>
      <c r="B533" s="1086"/>
      <c r="C533" s="1095"/>
      <c r="D533" s="1091"/>
      <c r="E533" s="1091"/>
      <c r="F533" s="1093"/>
      <c r="G533" s="98"/>
      <c r="H533" s="839"/>
      <c r="I533" s="1091"/>
      <c r="J533" s="1084"/>
      <c r="K533" s="1084"/>
      <c r="L533" s="932"/>
    </row>
    <row r="534" spans="1:12" s="106" customFormat="1" ht="15.75" hidden="1" customHeight="1" outlineLevel="1">
      <c r="A534" s="932"/>
      <c r="B534" s="1087"/>
      <c r="C534" s="1096"/>
      <c r="D534" s="1092"/>
      <c r="E534" s="1092"/>
      <c r="F534" s="1094"/>
      <c r="G534" s="103"/>
      <c r="H534" s="840"/>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839"/>
      <c r="I535" s="1091"/>
      <c r="J535" s="1083"/>
      <c r="K535" s="1083"/>
      <c r="L535" s="932"/>
    </row>
    <row r="536" spans="1:12" s="106" customFormat="1" ht="15.75" hidden="1" customHeight="1" outlineLevel="1">
      <c r="A536" s="932"/>
      <c r="B536" s="1086"/>
      <c r="C536" s="1095"/>
      <c r="D536" s="1091"/>
      <c r="E536" s="1091"/>
      <c r="F536" s="1093"/>
      <c r="G536" s="98"/>
      <c r="H536" s="839"/>
      <c r="I536" s="1091"/>
      <c r="J536" s="1084"/>
      <c r="K536" s="1084"/>
      <c r="L536" s="932"/>
    </row>
    <row r="537" spans="1:12" s="106" customFormat="1" ht="15.75" hidden="1" customHeight="1" outlineLevel="1">
      <c r="A537" s="932"/>
      <c r="B537" s="1087"/>
      <c r="C537" s="1096"/>
      <c r="D537" s="1092"/>
      <c r="E537" s="1092"/>
      <c r="F537" s="1094"/>
      <c r="G537" s="103"/>
      <c r="H537" s="840"/>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839"/>
      <c r="I538" s="1091"/>
      <c r="J538" s="1083"/>
      <c r="K538" s="1083"/>
      <c r="L538" s="932"/>
    </row>
    <row r="539" spans="1:12" s="106" customFormat="1" ht="15.75" hidden="1" customHeight="1" outlineLevel="1">
      <c r="A539" s="932"/>
      <c r="B539" s="1086"/>
      <c r="C539" s="1095"/>
      <c r="D539" s="1091"/>
      <c r="E539" s="1091"/>
      <c r="F539" s="1093"/>
      <c r="G539" s="98"/>
      <c r="H539" s="839"/>
      <c r="I539" s="1091"/>
      <c r="J539" s="1084"/>
      <c r="K539" s="1084"/>
      <c r="L539" s="932"/>
    </row>
    <row r="540" spans="1:12" s="106" customFormat="1" ht="15.75" hidden="1" customHeight="1" outlineLevel="1">
      <c r="A540" s="932"/>
      <c r="B540" s="1087"/>
      <c r="C540" s="1096"/>
      <c r="D540" s="1092"/>
      <c r="E540" s="1092"/>
      <c r="F540" s="1094"/>
      <c r="G540" s="103"/>
      <c r="H540" s="840"/>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839"/>
      <c r="I541" s="1091"/>
      <c r="J541" s="1083"/>
      <c r="K541" s="1083"/>
      <c r="L541" s="932"/>
    </row>
    <row r="542" spans="1:12" s="106" customFormat="1" ht="15.75" hidden="1" customHeight="1" outlineLevel="1">
      <c r="A542" s="932"/>
      <c r="B542" s="1086"/>
      <c r="C542" s="1095"/>
      <c r="D542" s="1091"/>
      <c r="E542" s="1091"/>
      <c r="F542" s="1093"/>
      <c r="G542" s="98"/>
      <c r="H542" s="839"/>
      <c r="I542" s="1091"/>
      <c r="J542" s="1084"/>
      <c r="K542" s="1084"/>
      <c r="L542" s="932"/>
    </row>
    <row r="543" spans="1:12" s="106" customFormat="1" ht="15.75" hidden="1" customHeight="1" outlineLevel="1">
      <c r="A543" s="932"/>
      <c r="B543" s="1087"/>
      <c r="C543" s="1096"/>
      <c r="D543" s="1092"/>
      <c r="E543" s="1092"/>
      <c r="F543" s="1094"/>
      <c r="G543" s="103"/>
      <c r="H543" s="840"/>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839"/>
      <c r="I544" s="1091"/>
      <c r="J544" s="1083"/>
      <c r="K544" s="1083"/>
      <c r="L544" s="932"/>
    </row>
    <row r="545" spans="1:12" s="106" customFormat="1" ht="15.75" hidden="1" customHeight="1" outlineLevel="1">
      <c r="A545" s="932"/>
      <c r="B545" s="1086"/>
      <c r="C545" s="1095"/>
      <c r="D545" s="1091"/>
      <c r="E545" s="1091"/>
      <c r="F545" s="1093"/>
      <c r="G545" s="98"/>
      <c r="H545" s="839"/>
      <c r="I545" s="1091"/>
      <c r="J545" s="1084"/>
      <c r="K545" s="1084"/>
      <c r="L545" s="932"/>
    </row>
    <row r="546" spans="1:12" s="106" customFormat="1" ht="15.75" hidden="1" customHeight="1" outlineLevel="1">
      <c r="A546" s="932"/>
      <c r="B546" s="1087"/>
      <c r="C546" s="1096"/>
      <c r="D546" s="1092"/>
      <c r="E546" s="1092"/>
      <c r="F546" s="1094"/>
      <c r="G546" s="103"/>
      <c r="H546" s="840"/>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839"/>
      <c r="I547" s="1091"/>
      <c r="J547" s="1083"/>
      <c r="K547" s="1083"/>
      <c r="L547" s="932"/>
    </row>
    <row r="548" spans="1:12" s="106" customFormat="1" ht="15.75" hidden="1" customHeight="1" outlineLevel="1">
      <c r="A548" s="932"/>
      <c r="B548" s="1086"/>
      <c r="C548" s="1095"/>
      <c r="D548" s="1091"/>
      <c r="E548" s="1091"/>
      <c r="F548" s="1093"/>
      <c r="G548" s="98"/>
      <c r="H548" s="839"/>
      <c r="I548" s="1091"/>
      <c r="J548" s="1084"/>
      <c r="K548" s="1084"/>
      <c r="L548" s="932"/>
    </row>
    <row r="549" spans="1:12" s="106" customFormat="1" ht="15.75" hidden="1" customHeight="1" outlineLevel="1">
      <c r="A549" s="932"/>
      <c r="B549" s="1087"/>
      <c r="C549" s="1096"/>
      <c r="D549" s="1092"/>
      <c r="E549" s="1092"/>
      <c r="F549" s="1094"/>
      <c r="G549" s="103"/>
      <c r="H549" s="840"/>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839"/>
      <c r="I550" s="1091"/>
      <c r="J550" s="1083"/>
      <c r="K550" s="1083"/>
      <c r="L550" s="932"/>
    </row>
    <row r="551" spans="1:12" s="106" customFormat="1" ht="15.75" hidden="1" customHeight="1" outlineLevel="1">
      <c r="A551" s="932"/>
      <c r="B551" s="1086"/>
      <c r="C551" s="1095"/>
      <c r="D551" s="1091"/>
      <c r="E551" s="1091"/>
      <c r="F551" s="1093"/>
      <c r="G551" s="98"/>
      <c r="H551" s="839"/>
      <c r="I551" s="1091"/>
      <c r="J551" s="1084"/>
      <c r="K551" s="1084"/>
      <c r="L551" s="932"/>
    </row>
    <row r="552" spans="1:12" s="106" customFormat="1" ht="15.75" hidden="1" customHeight="1" outlineLevel="1">
      <c r="A552" s="932"/>
      <c r="B552" s="1087"/>
      <c r="C552" s="1096"/>
      <c r="D552" s="1092"/>
      <c r="E552" s="1092"/>
      <c r="F552" s="1094"/>
      <c r="G552" s="103"/>
      <c r="H552" s="840"/>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839"/>
      <c r="I553" s="1091"/>
      <c r="J553" s="1083"/>
      <c r="K553" s="1083"/>
      <c r="L553" s="932"/>
    </row>
    <row r="554" spans="1:12" s="106" customFormat="1" ht="15.75" hidden="1" customHeight="1" outlineLevel="1">
      <c r="A554" s="932"/>
      <c r="B554" s="1086"/>
      <c r="C554" s="1095"/>
      <c r="D554" s="1091"/>
      <c r="E554" s="1091"/>
      <c r="F554" s="1093"/>
      <c r="G554" s="98"/>
      <c r="H554" s="839"/>
      <c r="I554" s="1091"/>
      <c r="J554" s="1084"/>
      <c r="K554" s="1084"/>
      <c r="L554" s="932"/>
    </row>
    <row r="555" spans="1:12" s="106" customFormat="1" ht="15.75" hidden="1" customHeight="1" outlineLevel="1">
      <c r="A555" s="932"/>
      <c r="B555" s="1087"/>
      <c r="C555" s="1096"/>
      <c r="D555" s="1092"/>
      <c r="E555" s="1092"/>
      <c r="F555" s="1094"/>
      <c r="G555" s="103"/>
      <c r="H555" s="840"/>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839"/>
      <c r="I556" s="1091"/>
      <c r="J556" s="1083"/>
      <c r="K556" s="1083"/>
      <c r="L556" s="932"/>
    </row>
    <row r="557" spans="1:12" s="106" customFormat="1" ht="15.75" hidden="1" customHeight="1" outlineLevel="1">
      <c r="A557" s="932"/>
      <c r="B557" s="1086"/>
      <c r="C557" s="1095"/>
      <c r="D557" s="1091"/>
      <c r="E557" s="1091"/>
      <c r="F557" s="1093"/>
      <c r="G557" s="98"/>
      <c r="H557" s="839"/>
      <c r="I557" s="1091"/>
      <c r="J557" s="1084"/>
      <c r="K557" s="1084"/>
      <c r="L557" s="932"/>
    </row>
    <row r="558" spans="1:12" s="106" customFormat="1" ht="15.75" hidden="1" customHeight="1" outlineLevel="1">
      <c r="A558" s="932"/>
      <c r="B558" s="1087"/>
      <c r="C558" s="1096"/>
      <c r="D558" s="1092"/>
      <c r="E558" s="1092"/>
      <c r="F558" s="1094"/>
      <c r="G558" s="103"/>
      <c r="H558" s="840"/>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839"/>
      <c r="I559" s="1091"/>
      <c r="J559" s="1083"/>
      <c r="K559" s="1083"/>
      <c r="L559" s="932"/>
    </row>
    <row r="560" spans="1:12" s="106" customFormat="1" ht="15.75" hidden="1" customHeight="1" outlineLevel="1">
      <c r="A560" s="932"/>
      <c r="B560" s="1086"/>
      <c r="C560" s="1095"/>
      <c r="D560" s="1091"/>
      <c r="E560" s="1091"/>
      <c r="F560" s="1093"/>
      <c r="G560" s="98"/>
      <c r="H560" s="839"/>
      <c r="I560" s="1091"/>
      <c r="J560" s="1084"/>
      <c r="K560" s="1084"/>
      <c r="L560" s="932"/>
    </row>
    <row r="561" spans="1:12" s="106" customFormat="1" ht="15.75" hidden="1" customHeight="1" outlineLevel="1">
      <c r="A561" s="932"/>
      <c r="B561" s="1087"/>
      <c r="C561" s="1096"/>
      <c r="D561" s="1092"/>
      <c r="E561" s="1092"/>
      <c r="F561" s="1094"/>
      <c r="G561" s="103"/>
      <c r="H561" s="840"/>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839"/>
      <c r="I562" s="1091"/>
      <c r="J562" s="1083"/>
      <c r="K562" s="1083"/>
      <c r="L562" s="932"/>
    </row>
    <row r="563" spans="1:12" s="106" customFormat="1" ht="15.75" hidden="1" customHeight="1" outlineLevel="1">
      <c r="A563" s="932"/>
      <c r="B563" s="1086"/>
      <c r="C563" s="1095"/>
      <c r="D563" s="1091"/>
      <c r="E563" s="1091"/>
      <c r="F563" s="1093"/>
      <c r="G563" s="98"/>
      <c r="H563" s="839"/>
      <c r="I563" s="1091"/>
      <c r="J563" s="1084"/>
      <c r="K563" s="1084"/>
      <c r="L563" s="932"/>
    </row>
    <row r="564" spans="1:12" s="106" customFormat="1" ht="15.75" hidden="1" customHeight="1" outlineLevel="1">
      <c r="A564" s="932"/>
      <c r="B564" s="1087"/>
      <c r="C564" s="1096"/>
      <c r="D564" s="1092"/>
      <c r="E564" s="1092"/>
      <c r="F564" s="1094"/>
      <c r="G564" s="103"/>
      <c r="H564" s="840"/>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839"/>
      <c r="I565" s="1091"/>
      <c r="J565" s="1083"/>
      <c r="K565" s="1083"/>
      <c r="L565" s="932"/>
    </row>
    <row r="566" spans="1:12" s="106" customFormat="1" ht="15.75" hidden="1" customHeight="1" outlineLevel="1">
      <c r="A566" s="932"/>
      <c r="B566" s="1086"/>
      <c r="C566" s="1095"/>
      <c r="D566" s="1091"/>
      <c r="E566" s="1091"/>
      <c r="F566" s="1093"/>
      <c r="G566" s="98"/>
      <c r="H566" s="839"/>
      <c r="I566" s="1091"/>
      <c r="J566" s="1084"/>
      <c r="K566" s="1084"/>
      <c r="L566" s="932"/>
    </row>
    <row r="567" spans="1:12" s="106" customFormat="1" ht="15.75" hidden="1" customHeight="1" outlineLevel="1">
      <c r="A567" s="932"/>
      <c r="B567" s="1087"/>
      <c r="C567" s="1096"/>
      <c r="D567" s="1092"/>
      <c r="E567" s="1092"/>
      <c r="F567" s="1094"/>
      <c r="G567" s="103"/>
      <c r="H567" s="840"/>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839"/>
      <c r="I568" s="1091"/>
      <c r="J568" s="1083"/>
      <c r="K568" s="1083"/>
      <c r="L568" s="932"/>
    </row>
    <row r="569" spans="1:12" s="106" customFormat="1" ht="15.75" hidden="1" customHeight="1" outlineLevel="1">
      <c r="A569" s="932"/>
      <c r="B569" s="1086"/>
      <c r="C569" s="1095"/>
      <c r="D569" s="1091"/>
      <c r="E569" s="1091"/>
      <c r="F569" s="1093"/>
      <c r="G569" s="98"/>
      <c r="H569" s="839"/>
      <c r="I569" s="1091"/>
      <c r="J569" s="1084"/>
      <c r="K569" s="1084"/>
      <c r="L569" s="932"/>
    </row>
    <row r="570" spans="1:12" s="106" customFormat="1" ht="15.75" hidden="1" customHeight="1" outlineLevel="1">
      <c r="A570" s="932"/>
      <c r="B570" s="1087"/>
      <c r="C570" s="1096"/>
      <c r="D570" s="1092"/>
      <c r="E570" s="1092"/>
      <c r="F570" s="1094"/>
      <c r="G570" s="103"/>
      <c r="H570" s="840"/>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839"/>
      <c r="I571" s="1091"/>
      <c r="J571" s="1083"/>
      <c r="K571" s="1083"/>
      <c r="L571" s="932"/>
    </row>
    <row r="572" spans="1:12" s="106" customFormat="1" ht="15.75" hidden="1" customHeight="1" outlineLevel="1">
      <c r="A572" s="932"/>
      <c r="B572" s="1086"/>
      <c r="C572" s="1095"/>
      <c r="D572" s="1091"/>
      <c r="E572" s="1091"/>
      <c r="F572" s="1093"/>
      <c r="G572" s="98"/>
      <c r="H572" s="839"/>
      <c r="I572" s="1091"/>
      <c r="J572" s="1084"/>
      <c r="K572" s="1084"/>
      <c r="L572" s="932"/>
    </row>
    <row r="573" spans="1:12" s="106" customFormat="1" ht="15.75" hidden="1" customHeight="1" outlineLevel="1">
      <c r="A573" s="932"/>
      <c r="B573" s="1087"/>
      <c r="C573" s="1096"/>
      <c r="D573" s="1092"/>
      <c r="E573" s="1092"/>
      <c r="F573" s="1094"/>
      <c r="G573" s="103"/>
      <c r="H573" s="840"/>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839"/>
      <c r="I574" s="1091"/>
      <c r="J574" s="1083"/>
      <c r="K574" s="1083"/>
      <c r="L574" s="932"/>
    </row>
    <row r="575" spans="1:12" s="106" customFormat="1" ht="15.75" hidden="1" customHeight="1" outlineLevel="1">
      <c r="A575" s="932"/>
      <c r="B575" s="1086"/>
      <c r="C575" s="1095"/>
      <c r="D575" s="1091"/>
      <c r="E575" s="1091"/>
      <c r="F575" s="1093"/>
      <c r="G575" s="98"/>
      <c r="H575" s="839"/>
      <c r="I575" s="1091"/>
      <c r="J575" s="1084"/>
      <c r="K575" s="1084"/>
      <c r="L575" s="932"/>
    </row>
    <row r="576" spans="1:12" s="106" customFormat="1" ht="15.75" hidden="1" customHeight="1" outlineLevel="1">
      <c r="A576" s="932"/>
      <c r="B576" s="1087"/>
      <c r="C576" s="1096"/>
      <c r="D576" s="1092"/>
      <c r="E576" s="1092"/>
      <c r="F576" s="1094"/>
      <c r="G576" s="103"/>
      <c r="H576" s="840"/>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839"/>
      <c r="I577" s="1091"/>
      <c r="J577" s="1083"/>
      <c r="K577" s="1083"/>
      <c r="L577" s="932"/>
    </row>
    <row r="578" spans="1:12" s="106" customFormat="1" ht="15.75" hidden="1" customHeight="1" outlineLevel="1">
      <c r="A578" s="932"/>
      <c r="B578" s="1086"/>
      <c r="C578" s="1095"/>
      <c r="D578" s="1091"/>
      <c r="E578" s="1091"/>
      <c r="F578" s="1093"/>
      <c r="G578" s="98"/>
      <c r="H578" s="839"/>
      <c r="I578" s="1091"/>
      <c r="J578" s="1084"/>
      <c r="K578" s="1084"/>
      <c r="L578" s="932"/>
    </row>
    <row r="579" spans="1:12" s="106" customFormat="1" ht="15.75" hidden="1" customHeight="1" outlineLevel="1">
      <c r="A579" s="932"/>
      <c r="B579" s="1087"/>
      <c r="C579" s="1096"/>
      <c r="D579" s="1092"/>
      <c r="E579" s="1092"/>
      <c r="F579" s="1094"/>
      <c r="G579" s="103"/>
      <c r="H579" s="840"/>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839"/>
      <c r="I580" s="1091"/>
      <c r="J580" s="1083"/>
      <c r="K580" s="1083"/>
      <c r="L580" s="932"/>
    </row>
    <row r="581" spans="1:12" s="106" customFormat="1" ht="15.75" hidden="1" customHeight="1" outlineLevel="1">
      <c r="A581" s="932"/>
      <c r="B581" s="1086"/>
      <c r="C581" s="1095"/>
      <c r="D581" s="1091"/>
      <c r="E581" s="1091"/>
      <c r="F581" s="1093"/>
      <c r="G581" s="98"/>
      <c r="H581" s="839"/>
      <c r="I581" s="1091"/>
      <c r="J581" s="1084"/>
      <c r="K581" s="1084"/>
      <c r="L581" s="932"/>
    </row>
    <row r="582" spans="1:12" s="106" customFormat="1" ht="15.75" hidden="1" customHeight="1" outlineLevel="1">
      <c r="A582" s="932"/>
      <c r="B582" s="1087"/>
      <c r="C582" s="1096"/>
      <c r="D582" s="1092"/>
      <c r="E582" s="1092"/>
      <c r="F582" s="1094"/>
      <c r="G582" s="103"/>
      <c r="H582" s="840"/>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839"/>
      <c r="I583" s="1091"/>
      <c r="J583" s="1083"/>
      <c r="K583" s="1083"/>
      <c r="L583" s="932"/>
    </row>
    <row r="584" spans="1:12" s="106" customFormat="1" ht="15.75" hidden="1" customHeight="1" outlineLevel="1">
      <c r="A584" s="932"/>
      <c r="B584" s="1086"/>
      <c r="C584" s="1095"/>
      <c r="D584" s="1091"/>
      <c r="E584" s="1091"/>
      <c r="F584" s="1093"/>
      <c r="G584" s="98"/>
      <c r="H584" s="839"/>
      <c r="I584" s="1091"/>
      <c r="J584" s="1084"/>
      <c r="K584" s="1084"/>
      <c r="L584" s="932"/>
    </row>
    <row r="585" spans="1:12" s="106" customFormat="1" ht="15.75" hidden="1" customHeight="1" outlineLevel="1">
      <c r="A585" s="932"/>
      <c r="B585" s="1087"/>
      <c r="C585" s="1096"/>
      <c r="D585" s="1092"/>
      <c r="E585" s="1092"/>
      <c r="F585" s="1094"/>
      <c r="G585" s="103"/>
      <c r="H585" s="840"/>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839"/>
      <c r="I586" s="1091"/>
      <c r="J586" s="1083"/>
      <c r="K586" s="1083"/>
      <c r="L586" s="932"/>
    </row>
    <row r="587" spans="1:12" s="106" customFormat="1" ht="15.75" hidden="1" customHeight="1" outlineLevel="1">
      <c r="A587" s="932"/>
      <c r="B587" s="1086"/>
      <c r="C587" s="1095"/>
      <c r="D587" s="1091"/>
      <c r="E587" s="1091"/>
      <c r="F587" s="1093"/>
      <c r="G587" s="98"/>
      <c r="H587" s="839"/>
      <c r="I587" s="1091"/>
      <c r="J587" s="1084"/>
      <c r="K587" s="1084"/>
      <c r="L587" s="932"/>
    </row>
    <row r="588" spans="1:12" s="106" customFormat="1" ht="15.75" hidden="1" customHeight="1" outlineLevel="1">
      <c r="A588" s="932"/>
      <c r="B588" s="1087"/>
      <c r="C588" s="1096"/>
      <c r="D588" s="1092"/>
      <c r="E588" s="1092"/>
      <c r="F588" s="1094"/>
      <c r="G588" s="103"/>
      <c r="H588" s="840"/>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839"/>
      <c r="I589" s="1091"/>
      <c r="J589" s="1083"/>
      <c r="K589" s="1083"/>
      <c r="L589" s="932"/>
    </row>
    <row r="590" spans="1:12" s="106" customFormat="1" ht="15.75" hidden="1" customHeight="1" outlineLevel="1">
      <c r="A590" s="932"/>
      <c r="B590" s="1086"/>
      <c r="C590" s="1095"/>
      <c r="D590" s="1091"/>
      <c r="E590" s="1091"/>
      <c r="F590" s="1093"/>
      <c r="G590" s="98"/>
      <c r="H590" s="839"/>
      <c r="I590" s="1091"/>
      <c r="J590" s="1084"/>
      <c r="K590" s="1084"/>
      <c r="L590" s="932"/>
    </row>
    <row r="591" spans="1:12" s="106" customFormat="1" ht="15.75" hidden="1" customHeight="1" outlineLevel="1">
      <c r="A591" s="932"/>
      <c r="B591" s="1087"/>
      <c r="C591" s="1096"/>
      <c r="D591" s="1092"/>
      <c r="E591" s="1092"/>
      <c r="F591" s="1094"/>
      <c r="G591" s="103"/>
      <c r="H591" s="840"/>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839"/>
      <c r="I592" s="1091"/>
      <c r="J592" s="1083"/>
      <c r="K592" s="1083"/>
      <c r="L592" s="932"/>
    </row>
    <row r="593" spans="1:12" s="106" customFormat="1" ht="15.75" hidden="1" customHeight="1" outlineLevel="1">
      <c r="A593" s="932"/>
      <c r="B593" s="1086"/>
      <c r="C593" s="1095"/>
      <c r="D593" s="1091"/>
      <c r="E593" s="1091"/>
      <c r="F593" s="1093"/>
      <c r="G593" s="98"/>
      <c r="H593" s="839"/>
      <c r="I593" s="1091"/>
      <c r="J593" s="1084"/>
      <c r="K593" s="1084"/>
      <c r="L593" s="932"/>
    </row>
    <row r="594" spans="1:12" s="106" customFormat="1" ht="15.75" hidden="1" customHeight="1" outlineLevel="1">
      <c r="A594" s="932"/>
      <c r="B594" s="1087"/>
      <c r="C594" s="1096"/>
      <c r="D594" s="1092"/>
      <c r="E594" s="1092"/>
      <c r="F594" s="1094"/>
      <c r="G594" s="103"/>
      <c r="H594" s="840"/>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839"/>
      <c r="I595" s="1091"/>
      <c r="J595" s="1083"/>
      <c r="K595" s="1083"/>
      <c r="L595" s="932"/>
    </row>
    <row r="596" spans="1:12" s="106" customFormat="1" ht="15.75" hidden="1" customHeight="1" outlineLevel="1">
      <c r="A596" s="932"/>
      <c r="B596" s="1086"/>
      <c r="C596" s="1095"/>
      <c r="D596" s="1091"/>
      <c r="E596" s="1091"/>
      <c r="F596" s="1093"/>
      <c r="G596" s="98"/>
      <c r="H596" s="839"/>
      <c r="I596" s="1091"/>
      <c r="J596" s="1084"/>
      <c r="K596" s="1084"/>
      <c r="L596" s="932"/>
    </row>
    <row r="597" spans="1:12" s="106" customFormat="1" ht="15.75" hidden="1" customHeight="1" outlineLevel="1">
      <c r="A597" s="932"/>
      <c r="B597" s="1087"/>
      <c r="C597" s="1096"/>
      <c r="D597" s="1092"/>
      <c r="E597" s="1092"/>
      <c r="F597" s="1094"/>
      <c r="G597" s="103"/>
      <c r="H597" s="840"/>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839"/>
      <c r="I598" s="1091"/>
      <c r="J598" s="1083"/>
      <c r="K598" s="1083"/>
      <c r="L598" s="932"/>
    </row>
    <row r="599" spans="1:12" s="106" customFormat="1" ht="15.75" hidden="1" customHeight="1" outlineLevel="1">
      <c r="A599" s="932"/>
      <c r="B599" s="1086"/>
      <c r="C599" s="1095"/>
      <c r="D599" s="1091"/>
      <c r="E599" s="1091"/>
      <c r="F599" s="1093"/>
      <c r="G599" s="98"/>
      <c r="H599" s="839"/>
      <c r="I599" s="1091"/>
      <c r="J599" s="1084"/>
      <c r="K599" s="1084"/>
      <c r="L599" s="932"/>
    </row>
    <row r="600" spans="1:12" s="106" customFormat="1" ht="15.75" hidden="1" customHeight="1" outlineLevel="1">
      <c r="A600" s="932"/>
      <c r="B600" s="1087"/>
      <c r="C600" s="1096"/>
      <c r="D600" s="1092"/>
      <c r="E600" s="1092"/>
      <c r="F600" s="1094"/>
      <c r="G600" s="103"/>
      <c r="H600" s="840"/>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839"/>
      <c r="I601" s="1091"/>
      <c r="J601" s="1083"/>
      <c r="K601" s="1083"/>
      <c r="L601" s="932"/>
    </row>
    <row r="602" spans="1:12" s="106" customFormat="1" ht="15.75" hidden="1" customHeight="1" outlineLevel="1">
      <c r="A602" s="932"/>
      <c r="B602" s="1086"/>
      <c r="C602" s="1095"/>
      <c r="D602" s="1091"/>
      <c r="E602" s="1091"/>
      <c r="F602" s="1093"/>
      <c r="G602" s="98"/>
      <c r="H602" s="839"/>
      <c r="I602" s="1091"/>
      <c r="J602" s="1084"/>
      <c r="K602" s="1084"/>
      <c r="L602" s="932"/>
    </row>
    <row r="603" spans="1:12" s="106" customFormat="1" ht="15.75" hidden="1" customHeight="1" outlineLevel="1">
      <c r="A603" s="932"/>
      <c r="B603" s="1087"/>
      <c r="C603" s="1096"/>
      <c r="D603" s="1092"/>
      <c r="E603" s="1092"/>
      <c r="F603" s="1094"/>
      <c r="G603" s="103"/>
      <c r="H603" s="840"/>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839"/>
      <c r="I604" s="1091"/>
      <c r="J604" s="1083"/>
      <c r="K604" s="1083"/>
      <c r="L604" s="932"/>
    </row>
    <row r="605" spans="1:12" s="106" customFormat="1" ht="15.75" hidden="1" customHeight="1" outlineLevel="1">
      <c r="A605" s="932"/>
      <c r="B605" s="1086"/>
      <c r="C605" s="1095"/>
      <c r="D605" s="1091"/>
      <c r="E605" s="1091"/>
      <c r="F605" s="1093"/>
      <c r="G605" s="98"/>
      <c r="H605" s="839"/>
      <c r="I605" s="1091"/>
      <c r="J605" s="1084"/>
      <c r="K605" s="1084"/>
      <c r="L605" s="932"/>
    </row>
    <row r="606" spans="1:12" s="106" customFormat="1" ht="15.75" hidden="1" customHeight="1" outlineLevel="1">
      <c r="A606" s="932"/>
      <c r="B606" s="1087"/>
      <c r="C606" s="1096"/>
      <c r="D606" s="1092"/>
      <c r="E606" s="1092"/>
      <c r="F606" s="1094"/>
      <c r="G606" s="103"/>
      <c r="H606" s="840"/>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839"/>
      <c r="I607" s="1091"/>
      <c r="J607" s="1083"/>
      <c r="K607" s="1083"/>
      <c r="L607" s="932"/>
    </row>
    <row r="608" spans="1:12" s="106" customFormat="1" ht="15.75" hidden="1" customHeight="1" outlineLevel="1">
      <c r="A608" s="932"/>
      <c r="B608" s="1086"/>
      <c r="C608" s="1095"/>
      <c r="D608" s="1091"/>
      <c r="E608" s="1091"/>
      <c r="F608" s="1093"/>
      <c r="G608" s="98"/>
      <c r="H608" s="839"/>
      <c r="I608" s="1091"/>
      <c r="J608" s="1084"/>
      <c r="K608" s="1084"/>
      <c r="L608" s="932"/>
    </row>
    <row r="609" spans="1:12" s="106" customFormat="1" ht="15.75" hidden="1" customHeight="1" outlineLevel="1">
      <c r="A609" s="932"/>
      <c r="B609" s="1087"/>
      <c r="C609" s="1096"/>
      <c r="D609" s="1092"/>
      <c r="E609" s="1092"/>
      <c r="F609" s="1094"/>
      <c r="G609" s="103"/>
      <c r="H609" s="840"/>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row>
    <row r="611" spans="1:12" s="106" customFormat="1" ht="15.75" hidden="1" customHeight="1" outlineLevel="1">
      <c r="A611" s="932"/>
      <c r="B611" s="1086"/>
      <c r="C611" s="1089"/>
      <c r="D611" s="1091"/>
      <c r="E611" s="1091"/>
      <c r="F611" s="1093"/>
      <c r="G611" s="98"/>
      <c r="H611" s="839"/>
      <c r="I611" s="1091"/>
      <c r="J611" s="1084"/>
      <c r="K611" s="1084"/>
      <c r="L611" s="932"/>
    </row>
    <row r="612" spans="1:12" s="106" customFormat="1" ht="15.75" hidden="1" customHeight="1" outlineLevel="1" thickBot="1">
      <c r="A612" s="932"/>
      <c r="B612" s="1087"/>
      <c r="C612" s="1090"/>
      <c r="D612" s="1092"/>
      <c r="E612" s="1092"/>
      <c r="F612" s="1094"/>
      <c r="G612" s="103"/>
      <c r="H612" s="840"/>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xr:uid="{00000000-0002-0000-1000-000000000000}">
      <formula1>$N$13:$N$17</formula1>
    </dataValidation>
  </dataValidations>
  <hyperlinks>
    <hyperlink ref="C1" location="Spis!B41" display="&gt;&gt; powrót do spisu treści" xr:uid="{00000000-0004-0000-10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259</v>
      </c>
      <c r="C7" s="923"/>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94"/>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93"/>
      <c r="I142" s="1091"/>
      <c r="J142" s="1083"/>
      <c r="K142" s="1083"/>
      <c r="L142" s="932"/>
    </row>
    <row r="143" spans="1:12" s="106" customFormat="1" ht="15.75" hidden="1" customHeight="1" outlineLevel="1">
      <c r="A143" s="932"/>
      <c r="B143" s="1086"/>
      <c r="C143" s="1095"/>
      <c r="D143" s="1091"/>
      <c r="E143" s="1091"/>
      <c r="F143" s="1093"/>
      <c r="G143" s="98"/>
      <c r="H143" s="93"/>
      <c r="I143" s="1091"/>
      <c r="J143" s="1084"/>
      <c r="K143" s="1084"/>
      <c r="L143" s="932"/>
    </row>
    <row r="144" spans="1:12" s="106" customFormat="1" ht="15.75" hidden="1" customHeight="1" outlineLevel="1">
      <c r="A144" s="932"/>
      <c r="B144" s="1087"/>
      <c r="C144" s="1096"/>
      <c r="D144" s="1092"/>
      <c r="E144" s="1092"/>
      <c r="F144" s="1094"/>
      <c r="G144" s="103"/>
      <c r="H144" s="101"/>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93"/>
      <c r="I145" s="1091"/>
      <c r="J145" s="1083"/>
      <c r="K145" s="1083"/>
      <c r="L145" s="932"/>
    </row>
    <row r="146" spans="1:12" s="106" customFormat="1" ht="15.75" hidden="1" customHeight="1" outlineLevel="1">
      <c r="A146" s="932"/>
      <c r="B146" s="1086"/>
      <c r="C146" s="1095"/>
      <c r="D146" s="1091"/>
      <c r="E146" s="1091"/>
      <c r="F146" s="1093"/>
      <c r="G146" s="98"/>
      <c r="H146" s="93"/>
      <c r="I146" s="1091"/>
      <c r="J146" s="1084"/>
      <c r="K146" s="1084"/>
      <c r="L146" s="932"/>
    </row>
    <row r="147" spans="1:12" s="106" customFormat="1" ht="15.75" hidden="1" customHeight="1" outlineLevel="1">
      <c r="A147" s="932"/>
      <c r="B147" s="1087"/>
      <c r="C147" s="1096"/>
      <c r="D147" s="1092"/>
      <c r="E147" s="1092"/>
      <c r="F147" s="1094"/>
      <c r="G147" s="103"/>
      <c r="H147" s="101"/>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93"/>
      <c r="I148" s="1091"/>
      <c r="J148" s="1083"/>
      <c r="K148" s="1083"/>
      <c r="L148" s="932"/>
    </row>
    <row r="149" spans="1:12" s="106" customFormat="1" ht="15.75" hidden="1" customHeight="1" outlineLevel="1">
      <c r="A149" s="932"/>
      <c r="B149" s="1086"/>
      <c r="C149" s="1095"/>
      <c r="D149" s="1091"/>
      <c r="E149" s="1091"/>
      <c r="F149" s="1093"/>
      <c r="G149" s="98"/>
      <c r="H149" s="93"/>
      <c r="I149" s="1091"/>
      <c r="J149" s="1084"/>
      <c r="K149" s="1084"/>
      <c r="L149" s="932"/>
    </row>
    <row r="150" spans="1:12" s="106" customFormat="1" ht="15.75" hidden="1" customHeight="1" outlineLevel="1">
      <c r="A150" s="932"/>
      <c r="B150" s="1087"/>
      <c r="C150" s="1096"/>
      <c r="D150" s="1092"/>
      <c r="E150" s="1092"/>
      <c r="F150" s="1094"/>
      <c r="G150" s="103"/>
      <c r="H150" s="101"/>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93"/>
      <c r="I151" s="1091"/>
      <c r="J151" s="1083"/>
      <c r="K151" s="1083"/>
      <c r="L151" s="932"/>
    </row>
    <row r="152" spans="1:12" s="106" customFormat="1" ht="15.75" hidden="1" customHeight="1" outlineLevel="1">
      <c r="A152" s="932"/>
      <c r="B152" s="1086"/>
      <c r="C152" s="1095"/>
      <c r="D152" s="1091"/>
      <c r="E152" s="1091"/>
      <c r="F152" s="1093"/>
      <c r="G152" s="98"/>
      <c r="H152" s="93"/>
      <c r="I152" s="1091"/>
      <c r="J152" s="1084"/>
      <c r="K152" s="1084"/>
      <c r="L152" s="932"/>
    </row>
    <row r="153" spans="1:12" s="106" customFormat="1" ht="15.75" hidden="1" customHeight="1" outlineLevel="1">
      <c r="A153" s="932"/>
      <c r="B153" s="1087"/>
      <c r="C153" s="1096"/>
      <c r="D153" s="1092"/>
      <c r="E153" s="1092"/>
      <c r="F153" s="1094"/>
      <c r="G153" s="103"/>
      <c r="H153" s="101"/>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93"/>
      <c r="I154" s="1091"/>
      <c r="J154" s="1083"/>
      <c r="K154" s="1083"/>
      <c r="L154" s="932"/>
    </row>
    <row r="155" spans="1:12" s="106" customFormat="1" ht="15.75" hidden="1" customHeight="1" outlineLevel="1">
      <c r="A155" s="932"/>
      <c r="B155" s="1086"/>
      <c r="C155" s="1095"/>
      <c r="D155" s="1091"/>
      <c r="E155" s="1091"/>
      <c r="F155" s="1093"/>
      <c r="G155" s="98"/>
      <c r="H155" s="93"/>
      <c r="I155" s="1091"/>
      <c r="J155" s="1084"/>
      <c r="K155" s="1084"/>
      <c r="L155" s="932"/>
    </row>
    <row r="156" spans="1:12" s="106" customFormat="1" ht="15.75" hidden="1" customHeight="1" outlineLevel="1">
      <c r="A156" s="932"/>
      <c r="B156" s="1087"/>
      <c r="C156" s="1096"/>
      <c r="D156" s="1092"/>
      <c r="E156" s="1092"/>
      <c r="F156" s="1094"/>
      <c r="G156" s="103"/>
      <c r="H156" s="101"/>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93"/>
      <c r="I157" s="1091"/>
      <c r="J157" s="1083"/>
      <c r="K157" s="1083"/>
      <c r="L157" s="932"/>
    </row>
    <row r="158" spans="1:12" s="106" customFormat="1" ht="15.75" hidden="1" customHeight="1" outlineLevel="1">
      <c r="A158" s="932"/>
      <c r="B158" s="1086"/>
      <c r="C158" s="1095"/>
      <c r="D158" s="1091"/>
      <c r="E158" s="1091"/>
      <c r="F158" s="1093"/>
      <c r="G158" s="98"/>
      <c r="H158" s="93"/>
      <c r="I158" s="1091"/>
      <c r="J158" s="1084"/>
      <c r="K158" s="1084"/>
      <c r="L158" s="932"/>
    </row>
    <row r="159" spans="1:12" s="106" customFormat="1" ht="15.75" hidden="1" customHeight="1" outlineLevel="1">
      <c r="A159" s="932"/>
      <c r="B159" s="1087"/>
      <c r="C159" s="1096"/>
      <c r="D159" s="1092"/>
      <c r="E159" s="1092"/>
      <c r="F159" s="1094"/>
      <c r="G159" s="103"/>
      <c r="H159" s="101"/>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93"/>
      <c r="I160" s="1091"/>
      <c r="J160" s="1083"/>
      <c r="K160" s="1083"/>
      <c r="L160" s="932"/>
    </row>
    <row r="161" spans="1:12" s="106" customFormat="1" ht="15.75" hidden="1" customHeight="1" outlineLevel="1">
      <c r="A161" s="932"/>
      <c r="B161" s="1086"/>
      <c r="C161" s="1095"/>
      <c r="D161" s="1091"/>
      <c r="E161" s="1091"/>
      <c r="F161" s="1093"/>
      <c r="G161" s="98"/>
      <c r="H161" s="93"/>
      <c r="I161" s="1091"/>
      <c r="J161" s="1084"/>
      <c r="K161" s="1084"/>
      <c r="L161" s="932"/>
    </row>
    <row r="162" spans="1:12" s="106" customFormat="1" ht="15.75" hidden="1" customHeight="1" outlineLevel="1">
      <c r="A162" s="932"/>
      <c r="B162" s="1087"/>
      <c r="C162" s="1096"/>
      <c r="D162" s="1092"/>
      <c r="E162" s="1092"/>
      <c r="F162" s="1094"/>
      <c r="G162" s="103"/>
      <c r="H162" s="101"/>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93"/>
      <c r="I163" s="1091"/>
      <c r="J163" s="1083"/>
      <c r="K163" s="1083"/>
      <c r="L163" s="932"/>
    </row>
    <row r="164" spans="1:12" s="106" customFormat="1" ht="15.75" hidden="1" customHeight="1" outlineLevel="1">
      <c r="A164" s="932"/>
      <c r="B164" s="1086"/>
      <c r="C164" s="1095"/>
      <c r="D164" s="1091"/>
      <c r="E164" s="1091"/>
      <c r="F164" s="1093"/>
      <c r="G164" s="98"/>
      <c r="H164" s="93"/>
      <c r="I164" s="1091"/>
      <c r="J164" s="1084"/>
      <c r="K164" s="1084"/>
      <c r="L164" s="932"/>
    </row>
    <row r="165" spans="1:12" s="106" customFormat="1" ht="15.75" hidden="1" customHeight="1" outlineLevel="1">
      <c r="A165" s="932"/>
      <c r="B165" s="1087"/>
      <c r="C165" s="1096"/>
      <c r="D165" s="1092"/>
      <c r="E165" s="1092"/>
      <c r="F165" s="1094"/>
      <c r="G165" s="103"/>
      <c r="H165" s="101"/>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93"/>
      <c r="I166" s="1091"/>
      <c r="J166" s="1083"/>
      <c r="K166" s="1083"/>
      <c r="L166" s="932"/>
    </row>
    <row r="167" spans="1:12" s="106" customFormat="1" ht="15.75" hidden="1" customHeight="1" outlineLevel="1">
      <c r="A167" s="932"/>
      <c r="B167" s="1086"/>
      <c r="C167" s="1095"/>
      <c r="D167" s="1091"/>
      <c r="E167" s="1091"/>
      <c r="F167" s="1093"/>
      <c r="G167" s="98"/>
      <c r="H167" s="93"/>
      <c r="I167" s="1091"/>
      <c r="J167" s="1084"/>
      <c r="K167" s="1084"/>
      <c r="L167" s="932"/>
    </row>
    <row r="168" spans="1:12" s="106" customFormat="1" ht="15.75" hidden="1" customHeight="1" outlineLevel="1">
      <c r="A168" s="932"/>
      <c r="B168" s="1087"/>
      <c r="C168" s="1096"/>
      <c r="D168" s="1092"/>
      <c r="E168" s="1092"/>
      <c r="F168" s="1094"/>
      <c r="G168" s="103"/>
      <c r="H168" s="101"/>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93"/>
      <c r="I169" s="1091"/>
      <c r="J169" s="1083"/>
      <c r="K169" s="1083"/>
      <c r="L169" s="932"/>
    </row>
    <row r="170" spans="1:12" s="106" customFormat="1" ht="15.75" hidden="1" customHeight="1" outlineLevel="1">
      <c r="A170" s="932"/>
      <c r="B170" s="1086"/>
      <c r="C170" s="1095"/>
      <c r="D170" s="1091"/>
      <c r="E170" s="1091"/>
      <c r="F170" s="1093"/>
      <c r="G170" s="98"/>
      <c r="H170" s="93"/>
      <c r="I170" s="1091"/>
      <c r="J170" s="1084"/>
      <c r="K170" s="1084"/>
      <c r="L170" s="932"/>
    </row>
    <row r="171" spans="1:12" s="106" customFormat="1" ht="15.75" hidden="1" customHeight="1" outlineLevel="1">
      <c r="A171" s="932"/>
      <c r="B171" s="1087"/>
      <c r="C171" s="1096"/>
      <c r="D171" s="1092"/>
      <c r="E171" s="1092"/>
      <c r="F171" s="1094"/>
      <c r="G171" s="103"/>
      <c r="H171" s="101"/>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93"/>
      <c r="I172" s="1091"/>
      <c r="J172" s="1083"/>
      <c r="K172" s="1083"/>
      <c r="L172" s="932"/>
    </row>
    <row r="173" spans="1:12" s="106" customFormat="1" ht="15.75" hidden="1" customHeight="1" outlineLevel="1">
      <c r="A173" s="932"/>
      <c r="B173" s="1086"/>
      <c r="C173" s="1095"/>
      <c r="D173" s="1091"/>
      <c r="E173" s="1091"/>
      <c r="F173" s="1093"/>
      <c r="G173" s="98"/>
      <c r="H173" s="93"/>
      <c r="I173" s="1091"/>
      <c r="J173" s="1084"/>
      <c r="K173" s="1084"/>
      <c r="L173" s="932"/>
    </row>
    <row r="174" spans="1:12" s="106" customFormat="1" ht="15.75" hidden="1" customHeight="1" outlineLevel="1">
      <c r="A174" s="932"/>
      <c r="B174" s="1087"/>
      <c r="C174" s="1096"/>
      <c r="D174" s="1092"/>
      <c r="E174" s="1092"/>
      <c r="F174" s="1094"/>
      <c r="G174" s="103"/>
      <c r="H174" s="101"/>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93"/>
      <c r="I175" s="1091"/>
      <c r="J175" s="1083"/>
      <c r="K175" s="1083"/>
      <c r="L175" s="932"/>
    </row>
    <row r="176" spans="1:12" s="106" customFormat="1" ht="15.75" hidden="1" customHeight="1" outlineLevel="1">
      <c r="A176" s="932"/>
      <c r="B176" s="1086"/>
      <c r="C176" s="1095"/>
      <c r="D176" s="1091"/>
      <c r="E176" s="1091"/>
      <c r="F176" s="1093"/>
      <c r="G176" s="98"/>
      <c r="H176" s="93"/>
      <c r="I176" s="1091"/>
      <c r="J176" s="1084"/>
      <c r="K176" s="1084"/>
      <c r="L176" s="932"/>
    </row>
    <row r="177" spans="1:12" s="106" customFormat="1" ht="15.75" hidden="1" customHeight="1" outlineLevel="1">
      <c r="A177" s="932"/>
      <c r="B177" s="1087"/>
      <c r="C177" s="1096"/>
      <c r="D177" s="1092"/>
      <c r="E177" s="1092"/>
      <c r="F177" s="1094"/>
      <c r="G177" s="103"/>
      <c r="H177" s="101"/>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93"/>
      <c r="I178" s="1091"/>
      <c r="J178" s="1083"/>
      <c r="K178" s="1083"/>
      <c r="L178" s="932"/>
    </row>
    <row r="179" spans="1:12" s="106" customFormat="1" ht="15.75" hidden="1" customHeight="1" outlineLevel="1">
      <c r="A179" s="932"/>
      <c r="B179" s="1086"/>
      <c r="C179" s="1095"/>
      <c r="D179" s="1091"/>
      <c r="E179" s="1091"/>
      <c r="F179" s="1093"/>
      <c r="G179" s="98"/>
      <c r="H179" s="93"/>
      <c r="I179" s="1091"/>
      <c r="J179" s="1084"/>
      <c r="K179" s="1084"/>
      <c r="L179" s="932"/>
    </row>
    <row r="180" spans="1:12" s="106" customFormat="1" ht="15.75" hidden="1" customHeight="1" outlineLevel="1">
      <c r="A180" s="932"/>
      <c r="B180" s="1087"/>
      <c r="C180" s="1096"/>
      <c r="D180" s="1092"/>
      <c r="E180" s="1092"/>
      <c r="F180" s="1094"/>
      <c r="G180" s="103"/>
      <c r="H180" s="101"/>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93"/>
      <c r="I181" s="1091"/>
      <c r="J181" s="1083"/>
      <c r="K181" s="1083"/>
      <c r="L181" s="932"/>
    </row>
    <row r="182" spans="1:12" s="106" customFormat="1" ht="15.75" hidden="1" customHeight="1" outlineLevel="1">
      <c r="A182" s="932"/>
      <c r="B182" s="1086"/>
      <c r="C182" s="1095"/>
      <c r="D182" s="1091"/>
      <c r="E182" s="1091"/>
      <c r="F182" s="1093"/>
      <c r="G182" s="98"/>
      <c r="H182" s="93"/>
      <c r="I182" s="1091"/>
      <c r="J182" s="1084"/>
      <c r="K182" s="1084"/>
      <c r="L182" s="932"/>
    </row>
    <row r="183" spans="1:12" s="106" customFormat="1" ht="15.75" hidden="1" customHeight="1" outlineLevel="1">
      <c r="A183" s="932"/>
      <c r="B183" s="1087"/>
      <c r="C183" s="1096"/>
      <c r="D183" s="1092"/>
      <c r="E183" s="1092"/>
      <c r="F183" s="1094"/>
      <c r="G183" s="103"/>
      <c r="H183" s="101"/>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93"/>
      <c r="I184" s="1091"/>
      <c r="J184" s="1083"/>
      <c r="K184" s="1083"/>
      <c r="L184" s="932"/>
    </row>
    <row r="185" spans="1:12" s="106" customFormat="1" ht="15.75" hidden="1" customHeight="1" outlineLevel="1">
      <c r="A185" s="932"/>
      <c r="B185" s="1086"/>
      <c r="C185" s="1095"/>
      <c r="D185" s="1091"/>
      <c r="E185" s="1091"/>
      <c r="F185" s="1093"/>
      <c r="G185" s="98"/>
      <c r="H185" s="93"/>
      <c r="I185" s="1091"/>
      <c r="J185" s="1084"/>
      <c r="K185" s="1084"/>
      <c r="L185" s="932"/>
    </row>
    <row r="186" spans="1:12" s="106" customFormat="1" ht="15.75" hidden="1" customHeight="1" outlineLevel="1">
      <c r="A186" s="932"/>
      <c r="B186" s="1087"/>
      <c r="C186" s="1096"/>
      <c r="D186" s="1092"/>
      <c r="E186" s="1092"/>
      <c r="F186" s="1094"/>
      <c r="G186" s="103"/>
      <c r="H186" s="101"/>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93"/>
      <c r="I187" s="1091"/>
      <c r="J187" s="1083"/>
      <c r="K187" s="1083"/>
      <c r="L187" s="932"/>
    </row>
    <row r="188" spans="1:12" s="106" customFormat="1" ht="15.75" hidden="1" customHeight="1" outlineLevel="1">
      <c r="A188" s="932"/>
      <c r="B188" s="1086"/>
      <c r="C188" s="1095"/>
      <c r="D188" s="1091"/>
      <c r="E188" s="1091"/>
      <c r="F188" s="1093"/>
      <c r="G188" s="98"/>
      <c r="H188" s="93"/>
      <c r="I188" s="1091"/>
      <c r="J188" s="1084"/>
      <c r="K188" s="1084"/>
      <c r="L188" s="932"/>
    </row>
    <row r="189" spans="1:12" s="106" customFormat="1" ht="15.75" hidden="1" customHeight="1" outlineLevel="1">
      <c r="A189" s="932"/>
      <c r="B189" s="1087"/>
      <c r="C189" s="1096"/>
      <c r="D189" s="1092"/>
      <c r="E189" s="1092"/>
      <c r="F189" s="1094"/>
      <c r="G189" s="103"/>
      <c r="H189" s="101"/>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93"/>
      <c r="I190" s="1091"/>
      <c r="J190" s="1083"/>
      <c r="K190" s="1083"/>
      <c r="L190" s="932"/>
    </row>
    <row r="191" spans="1:12" s="106" customFormat="1" ht="15.75" hidden="1" customHeight="1" outlineLevel="1">
      <c r="A191" s="932"/>
      <c r="B191" s="1086"/>
      <c r="C191" s="1095"/>
      <c r="D191" s="1091"/>
      <c r="E191" s="1091"/>
      <c r="F191" s="1093"/>
      <c r="G191" s="98"/>
      <c r="H191" s="93"/>
      <c r="I191" s="1091"/>
      <c r="J191" s="1084"/>
      <c r="K191" s="1084"/>
      <c r="L191" s="932"/>
    </row>
    <row r="192" spans="1:12" s="106" customFormat="1" ht="15.75" hidden="1" customHeight="1" outlineLevel="1">
      <c r="A192" s="932"/>
      <c r="B192" s="1087"/>
      <c r="C192" s="1096"/>
      <c r="D192" s="1092"/>
      <c r="E192" s="1092"/>
      <c r="F192" s="1094"/>
      <c r="G192" s="103"/>
      <c r="H192" s="101"/>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93"/>
      <c r="I193" s="1091"/>
      <c r="J193" s="1083"/>
      <c r="K193" s="1083"/>
      <c r="L193" s="932"/>
    </row>
    <row r="194" spans="1:12" s="106" customFormat="1" ht="15.75" hidden="1" customHeight="1" outlineLevel="1">
      <c r="A194" s="932"/>
      <c r="B194" s="1086"/>
      <c r="C194" s="1095"/>
      <c r="D194" s="1091"/>
      <c r="E194" s="1091"/>
      <c r="F194" s="1093"/>
      <c r="G194" s="98"/>
      <c r="H194" s="93"/>
      <c r="I194" s="1091"/>
      <c r="J194" s="1084"/>
      <c r="K194" s="1084"/>
      <c r="L194" s="932"/>
    </row>
    <row r="195" spans="1:12" s="106" customFormat="1" ht="15.75" hidden="1" customHeight="1" outlineLevel="1">
      <c r="A195" s="932"/>
      <c r="B195" s="1087"/>
      <c r="C195" s="1096"/>
      <c r="D195" s="1092"/>
      <c r="E195" s="1092"/>
      <c r="F195" s="1094"/>
      <c r="G195" s="103"/>
      <c r="H195" s="101"/>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93"/>
      <c r="I196" s="1091"/>
      <c r="J196" s="1083"/>
      <c r="K196" s="1083"/>
      <c r="L196" s="932"/>
    </row>
    <row r="197" spans="1:12" s="106" customFormat="1" ht="15.75" hidden="1" customHeight="1" outlineLevel="1">
      <c r="A197" s="932"/>
      <c r="B197" s="1086"/>
      <c r="C197" s="1095"/>
      <c r="D197" s="1091"/>
      <c r="E197" s="1091"/>
      <c r="F197" s="1093"/>
      <c r="G197" s="98"/>
      <c r="H197" s="93"/>
      <c r="I197" s="1091"/>
      <c r="J197" s="1084"/>
      <c r="K197" s="1084"/>
      <c r="L197" s="932"/>
    </row>
    <row r="198" spans="1:12" s="106" customFormat="1" ht="15.75" hidden="1" customHeight="1" outlineLevel="1">
      <c r="A198" s="932"/>
      <c r="B198" s="1087"/>
      <c r="C198" s="1096"/>
      <c r="D198" s="1092"/>
      <c r="E198" s="1092"/>
      <c r="F198" s="1094"/>
      <c r="G198" s="103"/>
      <c r="H198" s="101"/>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93"/>
      <c r="I199" s="1091"/>
      <c r="J199" s="1083"/>
      <c r="K199" s="1083"/>
      <c r="L199" s="932"/>
    </row>
    <row r="200" spans="1:12" s="106" customFormat="1" ht="15.75" hidden="1" customHeight="1" outlineLevel="1">
      <c r="A200" s="932"/>
      <c r="B200" s="1086"/>
      <c r="C200" s="1095"/>
      <c r="D200" s="1091"/>
      <c r="E200" s="1091"/>
      <c r="F200" s="1093"/>
      <c r="G200" s="98"/>
      <c r="H200" s="93"/>
      <c r="I200" s="1091"/>
      <c r="J200" s="1084"/>
      <c r="K200" s="1084"/>
      <c r="L200" s="932"/>
    </row>
    <row r="201" spans="1:12" s="106" customFormat="1" ht="15.75" hidden="1" customHeight="1" outlineLevel="1">
      <c r="A201" s="932"/>
      <c r="B201" s="1087"/>
      <c r="C201" s="1096"/>
      <c r="D201" s="1092"/>
      <c r="E201" s="1092"/>
      <c r="F201" s="1094"/>
      <c r="G201" s="103"/>
      <c r="H201" s="101"/>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93"/>
      <c r="I202" s="1091"/>
      <c r="J202" s="1083"/>
      <c r="K202" s="1083"/>
      <c r="L202" s="932"/>
    </row>
    <row r="203" spans="1:12" s="106" customFormat="1" ht="15.75" hidden="1" customHeight="1" outlineLevel="1">
      <c r="A203" s="932"/>
      <c r="B203" s="1086"/>
      <c r="C203" s="1095"/>
      <c r="D203" s="1091"/>
      <c r="E203" s="1091"/>
      <c r="F203" s="1093"/>
      <c r="G203" s="98"/>
      <c r="H203" s="93"/>
      <c r="I203" s="1091"/>
      <c r="J203" s="1084"/>
      <c r="K203" s="1084"/>
      <c r="L203" s="932"/>
    </row>
    <row r="204" spans="1:12" s="106" customFormat="1" ht="15.75" hidden="1" customHeight="1" outlineLevel="1">
      <c r="A204" s="932"/>
      <c r="B204" s="1087"/>
      <c r="C204" s="1096"/>
      <c r="D204" s="1092"/>
      <c r="E204" s="1092"/>
      <c r="F204" s="1094"/>
      <c r="G204" s="103"/>
      <c r="H204" s="101"/>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93"/>
      <c r="I205" s="1091"/>
      <c r="J205" s="1083"/>
      <c r="K205" s="1083"/>
      <c r="L205" s="932"/>
    </row>
    <row r="206" spans="1:12" s="106" customFormat="1" ht="15.75" hidden="1" customHeight="1" outlineLevel="1">
      <c r="A206" s="932"/>
      <c r="B206" s="1086"/>
      <c r="C206" s="1095"/>
      <c r="D206" s="1091"/>
      <c r="E206" s="1091"/>
      <c r="F206" s="1093"/>
      <c r="G206" s="98"/>
      <c r="H206" s="93"/>
      <c r="I206" s="1091"/>
      <c r="J206" s="1084"/>
      <c r="K206" s="1084"/>
      <c r="L206" s="932"/>
    </row>
    <row r="207" spans="1:12" s="106" customFormat="1" ht="15.75" hidden="1" customHeight="1" outlineLevel="1">
      <c r="A207" s="932"/>
      <c r="B207" s="1087"/>
      <c r="C207" s="1096"/>
      <c r="D207" s="1092"/>
      <c r="E207" s="1092"/>
      <c r="F207" s="1094"/>
      <c r="G207" s="103"/>
      <c r="H207" s="101"/>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93"/>
      <c r="I208" s="1091"/>
      <c r="J208" s="1083"/>
      <c r="K208" s="1083"/>
      <c r="L208" s="932"/>
    </row>
    <row r="209" spans="1:12" s="106" customFormat="1" ht="15.75" hidden="1" customHeight="1" outlineLevel="1">
      <c r="A209" s="932"/>
      <c r="B209" s="1086"/>
      <c r="C209" s="1095"/>
      <c r="D209" s="1091"/>
      <c r="E209" s="1091"/>
      <c r="F209" s="1093"/>
      <c r="G209" s="98"/>
      <c r="H209" s="93"/>
      <c r="I209" s="1091"/>
      <c r="J209" s="1084"/>
      <c r="K209" s="1084"/>
      <c r="L209" s="932"/>
    </row>
    <row r="210" spans="1:12" s="106" customFormat="1" ht="15.75" hidden="1" customHeight="1" outlineLevel="1">
      <c r="A210" s="932"/>
      <c r="B210" s="1087"/>
      <c r="C210" s="1096"/>
      <c r="D210" s="1092"/>
      <c r="E210" s="1092"/>
      <c r="F210" s="1094"/>
      <c r="G210" s="103"/>
      <c r="H210" s="101"/>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93"/>
      <c r="I211" s="1091"/>
      <c r="J211" s="1083"/>
      <c r="K211" s="1083"/>
      <c r="L211" s="932"/>
    </row>
    <row r="212" spans="1:12" s="106" customFormat="1" ht="15.75" hidden="1" customHeight="1" outlineLevel="1">
      <c r="A212" s="932"/>
      <c r="B212" s="1086"/>
      <c r="C212" s="1095"/>
      <c r="D212" s="1091"/>
      <c r="E212" s="1091"/>
      <c r="F212" s="1093"/>
      <c r="G212" s="98"/>
      <c r="H212" s="93"/>
      <c r="I212" s="1091"/>
      <c r="J212" s="1084"/>
      <c r="K212" s="1084"/>
      <c r="L212" s="932"/>
    </row>
    <row r="213" spans="1:12" s="106" customFormat="1" ht="15.75" hidden="1" customHeight="1" outlineLevel="1">
      <c r="A213" s="932"/>
      <c r="B213" s="1087"/>
      <c r="C213" s="1096"/>
      <c r="D213" s="1092"/>
      <c r="E213" s="1092"/>
      <c r="F213" s="1094"/>
      <c r="G213" s="103"/>
      <c r="H213" s="101"/>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93"/>
      <c r="I214" s="1091"/>
      <c r="J214" s="1083"/>
      <c r="K214" s="1083"/>
      <c r="L214" s="932"/>
    </row>
    <row r="215" spans="1:12" s="106" customFormat="1" ht="15.75" hidden="1" customHeight="1" outlineLevel="1">
      <c r="A215" s="932"/>
      <c r="B215" s="1086"/>
      <c r="C215" s="1095"/>
      <c r="D215" s="1091"/>
      <c r="E215" s="1091"/>
      <c r="F215" s="1093"/>
      <c r="G215" s="98"/>
      <c r="H215" s="93"/>
      <c r="I215" s="1091"/>
      <c r="J215" s="1084"/>
      <c r="K215" s="1084"/>
      <c r="L215" s="932"/>
    </row>
    <row r="216" spans="1:12" s="106" customFormat="1" ht="15.75" hidden="1" customHeight="1" outlineLevel="1">
      <c r="A216" s="932"/>
      <c r="B216" s="1087"/>
      <c r="C216" s="1096"/>
      <c r="D216" s="1092"/>
      <c r="E216" s="1092"/>
      <c r="F216" s="1094"/>
      <c r="G216" s="103"/>
      <c r="H216" s="101"/>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93"/>
      <c r="I217" s="1091"/>
      <c r="J217" s="1083"/>
      <c r="K217" s="1083"/>
      <c r="L217" s="932"/>
    </row>
    <row r="218" spans="1:12" s="106" customFormat="1" ht="15.75" hidden="1" customHeight="1" outlineLevel="1">
      <c r="A218" s="932"/>
      <c r="B218" s="1086"/>
      <c r="C218" s="1095"/>
      <c r="D218" s="1091"/>
      <c r="E218" s="1091"/>
      <c r="F218" s="1093"/>
      <c r="G218" s="98"/>
      <c r="H218" s="93"/>
      <c r="I218" s="1091"/>
      <c r="J218" s="1084"/>
      <c r="K218" s="1084"/>
      <c r="L218" s="932"/>
    </row>
    <row r="219" spans="1:12" s="106" customFormat="1" ht="15.75" hidden="1" customHeight="1" outlineLevel="1">
      <c r="A219" s="932"/>
      <c r="B219" s="1087"/>
      <c r="C219" s="1096"/>
      <c r="D219" s="1092"/>
      <c r="E219" s="1092"/>
      <c r="F219" s="1094"/>
      <c r="G219" s="103"/>
      <c r="H219" s="101"/>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93"/>
      <c r="I220" s="1091"/>
      <c r="J220" s="1083"/>
      <c r="K220" s="1083"/>
      <c r="L220" s="932"/>
    </row>
    <row r="221" spans="1:12" s="106" customFormat="1" ht="15.75" hidden="1" customHeight="1" outlineLevel="1">
      <c r="A221" s="932"/>
      <c r="B221" s="1086"/>
      <c r="C221" s="1095"/>
      <c r="D221" s="1091"/>
      <c r="E221" s="1091"/>
      <c r="F221" s="1093"/>
      <c r="G221" s="98"/>
      <c r="H221" s="93"/>
      <c r="I221" s="1091"/>
      <c r="J221" s="1084"/>
      <c r="K221" s="1084"/>
      <c r="L221" s="932"/>
    </row>
    <row r="222" spans="1:12" s="106" customFormat="1" ht="15.75" hidden="1" customHeight="1" outlineLevel="1">
      <c r="A222" s="932"/>
      <c r="B222" s="1087"/>
      <c r="C222" s="1096"/>
      <c r="D222" s="1092"/>
      <c r="E222" s="1092"/>
      <c r="F222" s="1094"/>
      <c r="G222" s="103"/>
      <c r="H222" s="101"/>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93"/>
      <c r="I223" s="1091"/>
      <c r="J223" s="1083"/>
      <c r="K223" s="1083"/>
      <c r="L223" s="932"/>
    </row>
    <row r="224" spans="1:12" s="106" customFormat="1" ht="15.75" hidden="1" customHeight="1" outlineLevel="1">
      <c r="A224" s="932"/>
      <c r="B224" s="1086"/>
      <c r="C224" s="1095"/>
      <c r="D224" s="1091"/>
      <c r="E224" s="1091"/>
      <c r="F224" s="1093"/>
      <c r="G224" s="98"/>
      <c r="H224" s="93"/>
      <c r="I224" s="1091"/>
      <c r="J224" s="1084"/>
      <c r="K224" s="1084"/>
      <c r="L224" s="932"/>
    </row>
    <row r="225" spans="1:12" s="106" customFormat="1" ht="15.75" hidden="1" customHeight="1" outlineLevel="1">
      <c r="A225" s="932"/>
      <c r="B225" s="1087"/>
      <c r="C225" s="1096"/>
      <c r="D225" s="1092"/>
      <c r="E225" s="1092"/>
      <c r="F225" s="1094"/>
      <c r="G225" s="103"/>
      <c r="H225" s="101"/>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93"/>
      <c r="I226" s="1091"/>
      <c r="J226" s="1083"/>
      <c r="K226" s="1083"/>
      <c r="L226" s="932"/>
    </row>
    <row r="227" spans="1:12" s="106" customFormat="1" ht="15.75" hidden="1" customHeight="1" outlineLevel="1">
      <c r="A227" s="932"/>
      <c r="B227" s="1086"/>
      <c r="C227" s="1095"/>
      <c r="D227" s="1091"/>
      <c r="E227" s="1091"/>
      <c r="F227" s="1093"/>
      <c r="G227" s="98"/>
      <c r="H227" s="93"/>
      <c r="I227" s="1091"/>
      <c r="J227" s="1084"/>
      <c r="K227" s="1084"/>
      <c r="L227" s="932"/>
    </row>
    <row r="228" spans="1:12" s="106" customFormat="1" ht="15.75" hidden="1" customHeight="1" outlineLevel="1">
      <c r="A228" s="932"/>
      <c r="B228" s="1087"/>
      <c r="C228" s="1096"/>
      <c r="D228" s="1092"/>
      <c r="E228" s="1092"/>
      <c r="F228" s="1094"/>
      <c r="G228" s="103"/>
      <c r="H228" s="101"/>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93"/>
      <c r="I229" s="1091"/>
      <c r="J229" s="1083"/>
      <c r="K229" s="1083"/>
      <c r="L229" s="932"/>
    </row>
    <row r="230" spans="1:12" s="106" customFormat="1" ht="15.75" hidden="1" customHeight="1" outlineLevel="1">
      <c r="A230" s="932"/>
      <c r="B230" s="1086"/>
      <c r="C230" s="1095"/>
      <c r="D230" s="1091"/>
      <c r="E230" s="1091"/>
      <c r="F230" s="1093"/>
      <c r="G230" s="98"/>
      <c r="H230" s="93"/>
      <c r="I230" s="1091"/>
      <c r="J230" s="1084"/>
      <c r="K230" s="1084"/>
      <c r="L230" s="932"/>
    </row>
    <row r="231" spans="1:12" s="106" customFormat="1" ht="15.75" hidden="1" customHeight="1" outlineLevel="1">
      <c r="A231" s="932"/>
      <c r="B231" s="1087"/>
      <c r="C231" s="1096"/>
      <c r="D231" s="1092"/>
      <c r="E231" s="1092"/>
      <c r="F231" s="1094"/>
      <c r="G231" s="103"/>
      <c r="H231" s="101"/>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93"/>
      <c r="I232" s="1091"/>
      <c r="J232" s="1083"/>
      <c r="K232" s="1083"/>
      <c r="L232" s="932"/>
    </row>
    <row r="233" spans="1:12" s="106" customFormat="1" ht="15.75" hidden="1" customHeight="1" outlineLevel="1">
      <c r="A233" s="932"/>
      <c r="B233" s="1086"/>
      <c r="C233" s="1095"/>
      <c r="D233" s="1091"/>
      <c r="E233" s="1091"/>
      <c r="F233" s="1093"/>
      <c r="G233" s="98"/>
      <c r="H233" s="93"/>
      <c r="I233" s="1091"/>
      <c r="J233" s="1084"/>
      <c r="K233" s="1084"/>
      <c r="L233" s="932"/>
    </row>
    <row r="234" spans="1:12" s="106" customFormat="1" ht="15.75" hidden="1" customHeight="1" outlineLevel="1">
      <c r="A234" s="932"/>
      <c r="B234" s="1087"/>
      <c r="C234" s="1096"/>
      <c r="D234" s="1092"/>
      <c r="E234" s="1092"/>
      <c r="F234" s="1094"/>
      <c r="G234" s="103"/>
      <c r="H234" s="101"/>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93"/>
      <c r="I235" s="1091"/>
      <c r="J235" s="1083"/>
      <c r="K235" s="1083"/>
      <c r="L235" s="932"/>
    </row>
    <row r="236" spans="1:12" s="106" customFormat="1" ht="15.75" hidden="1" customHeight="1" outlineLevel="1">
      <c r="A236" s="932"/>
      <c r="B236" s="1086"/>
      <c r="C236" s="1095"/>
      <c r="D236" s="1091"/>
      <c r="E236" s="1091"/>
      <c r="F236" s="1093"/>
      <c r="G236" s="98"/>
      <c r="H236" s="93"/>
      <c r="I236" s="1091"/>
      <c r="J236" s="1084"/>
      <c r="K236" s="1084"/>
      <c r="L236" s="932"/>
    </row>
    <row r="237" spans="1:12" s="106" customFormat="1" ht="15.75" hidden="1" customHeight="1" outlineLevel="1">
      <c r="A237" s="932"/>
      <c r="B237" s="1087"/>
      <c r="C237" s="1096"/>
      <c r="D237" s="1092"/>
      <c r="E237" s="1092"/>
      <c r="F237" s="1094"/>
      <c r="G237" s="103"/>
      <c r="H237" s="101"/>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93"/>
      <c r="I238" s="1091"/>
      <c r="J238" s="1083"/>
      <c r="K238" s="1083"/>
      <c r="L238" s="932"/>
    </row>
    <row r="239" spans="1:12" s="106" customFormat="1" ht="15.75" hidden="1" customHeight="1" outlineLevel="1">
      <c r="A239" s="932"/>
      <c r="B239" s="1086"/>
      <c r="C239" s="1095"/>
      <c r="D239" s="1091"/>
      <c r="E239" s="1091"/>
      <c r="F239" s="1093"/>
      <c r="G239" s="98"/>
      <c r="H239" s="93"/>
      <c r="I239" s="1091"/>
      <c r="J239" s="1084"/>
      <c r="K239" s="1084"/>
      <c r="L239" s="932"/>
    </row>
    <row r="240" spans="1:12" s="106" customFormat="1" ht="15.75" hidden="1" customHeight="1" outlineLevel="1">
      <c r="A240" s="932"/>
      <c r="B240" s="1087"/>
      <c r="C240" s="1096"/>
      <c r="D240" s="1092"/>
      <c r="E240" s="1092"/>
      <c r="F240" s="1094"/>
      <c r="G240" s="103"/>
      <c r="H240" s="101"/>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93"/>
      <c r="I241" s="1091"/>
      <c r="J241" s="1083"/>
      <c r="K241" s="1083"/>
      <c r="L241" s="932"/>
    </row>
    <row r="242" spans="1:12" s="106" customFormat="1" ht="15.75" hidden="1" customHeight="1" outlineLevel="1">
      <c r="A242" s="932"/>
      <c r="B242" s="1086"/>
      <c r="C242" s="1095"/>
      <c r="D242" s="1091"/>
      <c r="E242" s="1091"/>
      <c r="F242" s="1093"/>
      <c r="G242" s="98"/>
      <c r="H242" s="93"/>
      <c r="I242" s="1091"/>
      <c r="J242" s="1084"/>
      <c r="K242" s="1084"/>
      <c r="L242" s="932"/>
    </row>
    <row r="243" spans="1:12" s="106" customFormat="1" ht="15.75" hidden="1" customHeight="1" outlineLevel="1">
      <c r="A243" s="932"/>
      <c r="B243" s="1087"/>
      <c r="C243" s="1096"/>
      <c r="D243" s="1092"/>
      <c r="E243" s="1092"/>
      <c r="F243" s="1094"/>
      <c r="G243" s="103"/>
      <c r="H243" s="101"/>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93"/>
      <c r="I244" s="1091"/>
      <c r="J244" s="1083"/>
      <c r="K244" s="1083"/>
      <c r="L244" s="932"/>
    </row>
    <row r="245" spans="1:12" s="106" customFormat="1" ht="15.75" hidden="1" customHeight="1" outlineLevel="1">
      <c r="A245" s="932"/>
      <c r="B245" s="1086"/>
      <c r="C245" s="1095"/>
      <c r="D245" s="1091"/>
      <c r="E245" s="1091"/>
      <c r="F245" s="1093"/>
      <c r="G245" s="98"/>
      <c r="H245" s="93"/>
      <c r="I245" s="1091"/>
      <c r="J245" s="1084"/>
      <c r="K245" s="1084"/>
      <c r="L245" s="932"/>
    </row>
    <row r="246" spans="1:12" s="106" customFormat="1" ht="15.75" hidden="1" customHeight="1" outlineLevel="1">
      <c r="A246" s="932"/>
      <c r="B246" s="1087"/>
      <c r="C246" s="1096"/>
      <c r="D246" s="1092"/>
      <c r="E246" s="1092"/>
      <c r="F246" s="1094"/>
      <c r="G246" s="103"/>
      <c r="H246" s="101"/>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93"/>
      <c r="I247" s="1091"/>
      <c r="J247" s="1083"/>
      <c r="K247" s="1083"/>
      <c r="L247" s="932"/>
    </row>
    <row r="248" spans="1:12" s="106" customFormat="1" ht="15.75" hidden="1" customHeight="1" outlineLevel="1">
      <c r="A248" s="932"/>
      <c r="B248" s="1086"/>
      <c r="C248" s="1095"/>
      <c r="D248" s="1091"/>
      <c r="E248" s="1091"/>
      <c r="F248" s="1093"/>
      <c r="G248" s="98"/>
      <c r="H248" s="93"/>
      <c r="I248" s="1091"/>
      <c r="J248" s="1084"/>
      <c r="K248" s="1084"/>
      <c r="L248" s="932"/>
    </row>
    <row r="249" spans="1:12" s="106" customFormat="1" ht="15.75" hidden="1" customHeight="1" outlineLevel="1">
      <c r="A249" s="932"/>
      <c r="B249" s="1087"/>
      <c r="C249" s="1096"/>
      <c r="D249" s="1092"/>
      <c r="E249" s="1092"/>
      <c r="F249" s="1094"/>
      <c r="G249" s="103"/>
      <c r="H249" s="101"/>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93"/>
      <c r="I250" s="1091"/>
      <c r="J250" s="1083"/>
      <c r="K250" s="1083"/>
      <c r="L250" s="932"/>
    </row>
    <row r="251" spans="1:12" s="106" customFormat="1" ht="15.75" hidden="1" customHeight="1" outlineLevel="1">
      <c r="A251" s="932"/>
      <c r="B251" s="1086"/>
      <c r="C251" s="1095"/>
      <c r="D251" s="1091"/>
      <c r="E251" s="1091"/>
      <c r="F251" s="1093"/>
      <c r="G251" s="98"/>
      <c r="H251" s="93"/>
      <c r="I251" s="1091"/>
      <c r="J251" s="1084"/>
      <c r="K251" s="1084"/>
      <c r="L251" s="932"/>
    </row>
    <row r="252" spans="1:12" s="106" customFormat="1" ht="15.75" hidden="1" customHeight="1" outlineLevel="1">
      <c r="A252" s="932"/>
      <c r="B252" s="1087"/>
      <c r="C252" s="1096"/>
      <c r="D252" s="1092"/>
      <c r="E252" s="1092"/>
      <c r="F252" s="1094"/>
      <c r="G252" s="103"/>
      <c r="H252" s="101"/>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93"/>
      <c r="I253" s="1091"/>
      <c r="J253" s="1083"/>
      <c r="K253" s="1083"/>
      <c r="L253" s="932"/>
    </row>
    <row r="254" spans="1:12" s="106" customFormat="1" ht="15.75" hidden="1" customHeight="1" outlineLevel="1">
      <c r="A254" s="932"/>
      <c r="B254" s="1086"/>
      <c r="C254" s="1095"/>
      <c r="D254" s="1091"/>
      <c r="E254" s="1091"/>
      <c r="F254" s="1093"/>
      <c r="G254" s="98"/>
      <c r="H254" s="93"/>
      <c r="I254" s="1091"/>
      <c r="J254" s="1084"/>
      <c r="K254" s="1084"/>
      <c r="L254" s="932"/>
    </row>
    <row r="255" spans="1:12" s="106" customFormat="1" ht="15.75" hidden="1" customHeight="1" outlineLevel="1">
      <c r="A255" s="932"/>
      <c r="B255" s="1087"/>
      <c r="C255" s="1096"/>
      <c r="D255" s="1092"/>
      <c r="E255" s="1092"/>
      <c r="F255" s="1094"/>
      <c r="G255" s="103"/>
      <c r="H255" s="101"/>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93"/>
      <c r="I256" s="1091"/>
      <c r="J256" s="1083"/>
      <c r="K256" s="1083"/>
      <c r="L256" s="932"/>
    </row>
    <row r="257" spans="1:12" s="106" customFormat="1" ht="15.75" hidden="1" customHeight="1" outlineLevel="1">
      <c r="A257" s="932"/>
      <c r="B257" s="1086"/>
      <c r="C257" s="1095"/>
      <c r="D257" s="1091"/>
      <c r="E257" s="1091"/>
      <c r="F257" s="1093"/>
      <c r="G257" s="98"/>
      <c r="H257" s="93"/>
      <c r="I257" s="1091"/>
      <c r="J257" s="1084"/>
      <c r="K257" s="1084"/>
      <c r="L257" s="932"/>
    </row>
    <row r="258" spans="1:12" s="106" customFormat="1" ht="15.75" hidden="1" customHeight="1" outlineLevel="1">
      <c r="A258" s="932"/>
      <c r="B258" s="1087"/>
      <c r="C258" s="1096"/>
      <c r="D258" s="1092"/>
      <c r="E258" s="1092"/>
      <c r="F258" s="1094"/>
      <c r="G258" s="103"/>
      <c r="H258" s="101"/>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93"/>
      <c r="I259" s="1091"/>
      <c r="J259" s="1083"/>
      <c r="K259" s="1083"/>
      <c r="L259" s="932"/>
    </row>
    <row r="260" spans="1:12" s="106" customFormat="1" ht="15.75" hidden="1" customHeight="1" outlineLevel="1">
      <c r="A260" s="932"/>
      <c r="B260" s="1086"/>
      <c r="C260" s="1095"/>
      <c r="D260" s="1091"/>
      <c r="E260" s="1091"/>
      <c r="F260" s="1093"/>
      <c r="G260" s="98"/>
      <c r="H260" s="93"/>
      <c r="I260" s="1091"/>
      <c r="J260" s="1084"/>
      <c r="K260" s="1084"/>
      <c r="L260" s="932"/>
    </row>
    <row r="261" spans="1:12" s="106" customFormat="1" ht="15.75" hidden="1" customHeight="1" outlineLevel="1">
      <c r="A261" s="932"/>
      <c r="B261" s="1087"/>
      <c r="C261" s="1096"/>
      <c r="D261" s="1092"/>
      <c r="E261" s="1092"/>
      <c r="F261" s="1094"/>
      <c r="G261" s="103"/>
      <c r="H261" s="101"/>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93"/>
      <c r="I262" s="1091"/>
      <c r="J262" s="1083"/>
      <c r="K262" s="1083"/>
      <c r="L262" s="932"/>
    </row>
    <row r="263" spans="1:12" s="106" customFormat="1" ht="15.75" hidden="1" customHeight="1" outlineLevel="1">
      <c r="A263" s="932"/>
      <c r="B263" s="1086"/>
      <c r="C263" s="1095"/>
      <c r="D263" s="1091"/>
      <c r="E263" s="1091"/>
      <c r="F263" s="1093"/>
      <c r="G263" s="98"/>
      <c r="H263" s="93"/>
      <c r="I263" s="1091"/>
      <c r="J263" s="1084"/>
      <c r="K263" s="1084"/>
      <c r="L263" s="932"/>
    </row>
    <row r="264" spans="1:12" s="106" customFormat="1" ht="15.75" hidden="1" customHeight="1" outlineLevel="1">
      <c r="A264" s="932"/>
      <c r="B264" s="1087"/>
      <c r="C264" s="1096"/>
      <c r="D264" s="1092"/>
      <c r="E264" s="1092"/>
      <c r="F264" s="1094"/>
      <c r="G264" s="103"/>
      <c r="H264" s="101"/>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93"/>
      <c r="I265" s="1091"/>
      <c r="J265" s="1083"/>
      <c r="K265" s="1083"/>
      <c r="L265" s="932"/>
    </row>
    <row r="266" spans="1:12" s="106" customFormat="1" ht="15.75" hidden="1" customHeight="1" outlineLevel="1">
      <c r="A266" s="932"/>
      <c r="B266" s="1086"/>
      <c r="C266" s="1095"/>
      <c r="D266" s="1091"/>
      <c r="E266" s="1091"/>
      <c r="F266" s="1093"/>
      <c r="G266" s="98"/>
      <c r="H266" s="93"/>
      <c r="I266" s="1091"/>
      <c r="J266" s="1084"/>
      <c r="K266" s="1084"/>
      <c r="L266" s="932"/>
    </row>
    <row r="267" spans="1:12" s="106" customFormat="1" ht="15.75" hidden="1" customHeight="1" outlineLevel="1">
      <c r="A267" s="932"/>
      <c r="B267" s="1087"/>
      <c r="C267" s="1096"/>
      <c r="D267" s="1092"/>
      <c r="E267" s="1092"/>
      <c r="F267" s="1094"/>
      <c r="G267" s="103"/>
      <c r="H267" s="101"/>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93"/>
      <c r="I268" s="1091"/>
      <c r="J268" s="1083"/>
      <c r="K268" s="1083"/>
      <c r="L268" s="932"/>
    </row>
    <row r="269" spans="1:12" s="106" customFormat="1" ht="15.75" hidden="1" customHeight="1" outlineLevel="1">
      <c r="A269" s="932"/>
      <c r="B269" s="1086"/>
      <c r="C269" s="1095"/>
      <c r="D269" s="1091"/>
      <c r="E269" s="1091"/>
      <c r="F269" s="1093"/>
      <c r="G269" s="98"/>
      <c r="H269" s="93"/>
      <c r="I269" s="1091"/>
      <c r="J269" s="1084"/>
      <c r="K269" s="1084"/>
      <c r="L269" s="932"/>
    </row>
    <row r="270" spans="1:12" s="106" customFormat="1" ht="15.75" hidden="1" customHeight="1" outlineLevel="1">
      <c r="A270" s="932"/>
      <c r="B270" s="1087"/>
      <c r="C270" s="1096"/>
      <c r="D270" s="1092"/>
      <c r="E270" s="1092"/>
      <c r="F270" s="1094"/>
      <c r="G270" s="103"/>
      <c r="H270" s="101"/>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93"/>
      <c r="I271" s="1091"/>
      <c r="J271" s="1083"/>
      <c r="K271" s="1083"/>
      <c r="L271" s="932"/>
    </row>
    <row r="272" spans="1:12" s="106" customFormat="1" ht="15.75" hidden="1" customHeight="1" outlineLevel="1">
      <c r="A272" s="932"/>
      <c r="B272" s="1086"/>
      <c r="C272" s="1095"/>
      <c r="D272" s="1091"/>
      <c r="E272" s="1091"/>
      <c r="F272" s="1093"/>
      <c r="G272" s="98"/>
      <c r="H272" s="93"/>
      <c r="I272" s="1091"/>
      <c r="J272" s="1084"/>
      <c r="K272" s="1084"/>
      <c r="L272" s="932"/>
    </row>
    <row r="273" spans="1:12" s="106" customFormat="1" ht="15.75" hidden="1" customHeight="1" outlineLevel="1">
      <c r="A273" s="932"/>
      <c r="B273" s="1087"/>
      <c r="C273" s="1096"/>
      <c r="D273" s="1092"/>
      <c r="E273" s="1092"/>
      <c r="F273" s="1094"/>
      <c r="G273" s="103"/>
      <c r="H273" s="101"/>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93"/>
      <c r="I274" s="1091"/>
      <c r="J274" s="1083"/>
      <c r="K274" s="1083"/>
      <c r="L274" s="932"/>
    </row>
    <row r="275" spans="1:12" s="106" customFormat="1" ht="15.75" hidden="1" customHeight="1" outlineLevel="1">
      <c r="A275" s="932"/>
      <c r="B275" s="1086"/>
      <c r="C275" s="1095"/>
      <c r="D275" s="1091"/>
      <c r="E275" s="1091"/>
      <c r="F275" s="1093"/>
      <c r="G275" s="98"/>
      <c r="H275" s="93"/>
      <c r="I275" s="1091"/>
      <c r="J275" s="1084"/>
      <c r="K275" s="1084"/>
      <c r="L275" s="932"/>
    </row>
    <row r="276" spans="1:12" s="106" customFormat="1" ht="15.75" hidden="1" customHeight="1" outlineLevel="1">
      <c r="A276" s="932"/>
      <c r="B276" s="1087"/>
      <c r="C276" s="1096"/>
      <c r="D276" s="1092"/>
      <c r="E276" s="1092"/>
      <c r="F276" s="1094"/>
      <c r="G276" s="103"/>
      <c r="H276" s="101"/>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93"/>
      <c r="I277" s="1091"/>
      <c r="J277" s="1083"/>
      <c r="K277" s="1083"/>
      <c r="L277" s="932"/>
    </row>
    <row r="278" spans="1:12" s="106" customFormat="1" ht="15.75" hidden="1" customHeight="1" outlineLevel="1">
      <c r="A278" s="932"/>
      <c r="B278" s="1086"/>
      <c r="C278" s="1095"/>
      <c r="D278" s="1091"/>
      <c r="E278" s="1091"/>
      <c r="F278" s="1093"/>
      <c r="G278" s="98"/>
      <c r="H278" s="93"/>
      <c r="I278" s="1091"/>
      <c r="J278" s="1084"/>
      <c r="K278" s="1084"/>
      <c r="L278" s="932"/>
    </row>
    <row r="279" spans="1:12" s="106" customFormat="1" ht="15.75" hidden="1" customHeight="1" outlineLevel="1">
      <c r="A279" s="932"/>
      <c r="B279" s="1087"/>
      <c r="C279" s="1096"/>
      <c r="D279" s="1092"/>
      <c r="E279" s="1092"/>
      <c r="F279" s="1094"/>
      <c r="G279" s="103"/>
      <c r="H279" s="101"/>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93"/>
      <c r="I280" s="1091"/>
      <c r="J280" s="1083"/>
      <c r="K280" s="1083"/>
      <c r="L280" s="932"/>
    </row>
    <row r="281" spans="1:12" s="106" customFormat="1" ht="15.75" hidden="1" customHeight="1" outlineLevel="1">
      <c r="A281" s="932"/>
      <c r="B281" s="1086"/>
      <c r="C281" s="1095"/>
      <c r="D281" s="1091"/>
      <c r="E281" s="1091"/>
      <c r="F281" s="1093"/>
      <c r="G281" s="98"/>
      <c r="H281" s="93"/>
      <c r="I281" s="1091"/>
      <c r="J281" s="1084"/>
      <c r="K281" s="1084"/>
      <c r="L281" s="932"/>
    </row>
    <row r="282" spans="1:12" s="106" customFormat="1" ht="15.75" hidden="1" customHeight="1" outlineLevel="1">
      <c r="A282" s="932"/>
      <c r="B282" s="1087"/>
      <c r="C282" s="1096"/>
      <c r="D282" s="1092"/>
      <c r="E282" s="1092"/>
      <c r="F282" s="1094"/>
      <c r="G282" s="103"/>
      <c r="H282" s="101"/>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93"/>
      <c r="I283" s="1091"/>
      <c r="J283" s="1083"/>
      <c r="K283" s="1083"/>
      <c r="L283" s="932"/>
    </row>
    <row r="284" spans="1:12" s="106" customFormat="1" ht="15.75" hidden="1" customHeight="1" outlineLevel="1">
      <c r="A284" s="932"/>
      <c r="B284" s="1086"/>
      <c r="C284" s="1095"/>
      <c r="D284" s="1091"/>
      <c r="E284" s="1091"/>
      <c r="F284" s="1093"/>
      <c r="G284" s="98"/>
      <c r="H284" s="93"/>
      <c r="I284" s="1091"/>
      <c r="J284" s="1084"/>
      <c r="K284" s="1084"/>
      <c r="L284" s="932"/>
    </row>
    <row r="285" spans="1:12" s="106" customFormat="1" ht="15.75" hidden="1" customHeight="1" outlineLevel="1">
      <c r="A285" s="932"/>
      <c r="B285" s="1087"/>
      <c r="C285" s="1096"/>
      <c r="D285" s="1092"/>
      <c r="E285" s="1092"/>
      <c r="F285" s="1094"/>
      <c r="G285" s="103"/>
      <c r="H285" s="101"/>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93"/>
      <c r="I286" s="1091"/>
      <c r="J286" s="1083"/>
      <c r="K286" s="1083"/>
      <c r="L286" s="932"/>
    </row>
    <row r="287" spans="1:12" s="106" customFormat="1" ht="15.75" hidden="1" customHeight="1" outlineLevel="1">
      <c r="A287" s="932"/>
      <c r="B287" s="1086"/>
      <c r="C287" s="1095"/>
      <c r="D287" s="1091"/>
      <c r="E287" s="1091"/>
      <c r="F287" s="1093"/>
      <c r="G287" s="98"/>
      <c r="H287" s="93"/>
      <c r="I287" s="1091"/>
      <c r="J287" s="1084"/>
      <c r="K287" s="1084"/>
      <c r="L287" s="932"/>
    </row>
    <row r="288" spans="1:12" s="106" customFormat="1" ht="15.75" hidden="1" customHeight="1" outlineLevel="1">
      <c r="A288" s="932"/>
      <c r="B288" s="1087"/>
      <c r="C288" s="1096"/>
      <c r="D288" s="1092"/>
      <c r="E288" s="1092"/>
      <c r="F288" s="1094"/>
      <c r="G288" s="103"/>
      <c r="H288" s="101"/>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93"/>
      <c r="I289" s="1091"/>
      <c r="J289" s="1083"/>
      <c r="K289" s="1083"/>
      <c r="L289" s="932"/>
    </row>
    <row r="290" spans="1:12" s="106" customFormat="1" ht="15.75" hidden="1" customHeight="1" outlineLevel="1">
      <c r="A290" s="932"/>
      <c r="B290" s="1086"/>
      <c r="C290" s="1095"/>
      <c r="D290" s="1091"/>
      <c r="E290" s="1091"/>
      <c r="F290" s="1093"/>
      <c r="G290" s="98"/>
      <c r="H290" s="93"/>
      <c r="I290" s="1091"/>
      <c r="J290" s="1084"/>
      <c r="K290" s="1084"/>
      <c r="L290" s="932"/>
    </row>
    <row r="291" spans="1:12" s="106" customFormat="1" ht="15.75" hidden="1" customHeight="1" outlineLevel="1">
      <c r="A291" s="932"/>
      <c r="B291" s="1087"/>
      <c r="C291" s="1096"/>
      <c r="D291" s="1092"/>
      <c r="E291" s="1092"/>
      <c r="F291" s="1094"/>
      <c r="G291" s="103"/>
      <c r="H291" s="101"/>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93"/>
      <c r="I292" s="1091"/>
      <c r="J292" s="1083"/>
      <c r="K292" s="1083"/>
      <c r="L292" s="932"/>
    </row>
    <row r="293" spans="1:12" s="106" customFormat="1" ht="15.75" hidden="1" customHeight="1" outlineLevel="1">
      <c r="A293" s="932"/>
      <c r="B293" s="1086"/>
      <c r="C293" s="1095"/>
      <c r="D293" s="1091"/>
      <c r="E293" s="1091"/>
      <c r="F293" s="1093"/>
      <c r="G293" s="98"/>
      <c r="H293" s="93"/>
      <c r="I293" s="1091"/>
      <c r="J293" s="1084"/>
      <c r="K293" s="1084"/>
      <c r="L293" s="932"/>
    </row>
    <row r="294" spans="1:12" s="106" customFormat="1" ht="15.75" hidden="1" customHeight="1" outlineLevel="1">
      <c r="A294" s="932"/>
      <c r="B294" s="1087"/>
      <c r="C294" s="1096"/>
      <c r="D294" s="1092"/>
      <c r="E294" s="1092"/>
      <c r="F294" s="1094"/>
      <c r="G294" s="103"/>
      <c r="H294" s="101"/>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93"/>
      <c r="I295" s="1091"/>
      <c r="J295" s="1083"/>
      <c r="K295" s="1083"/>
      <c r="L295" s="932"/>
    </row>
    <row r="296" spans="1:12" s="106" customFormat="1" ht="15.75" hidden="1" customHeight="1" outlineLevel="1">
      <c r="A296" s="932"/>
      <c r="B296" s="1086"/>
      <c r="C296" s="1095"/>
      <c r="D296" s="1091"/>
      <c r="E296" s="1091"/>
      <c r="F296" s="1093"/>
      <c r="G296" s="98"/>
      <c r="H296" s="93"/>
      <c r="I296" s="1091"/>
      <c r="J296" s="1084"/>
      <c r="K296" s="1084"/>
      <c r="L296" s="932"/>
    </row>
    <row r="297" spans="1:12" s="106" customFormat="1" ht="15.75" hidden="1" customHeight="1" outlineLevel="1">
      <c r="A297" s="932"/>
      <c r="B297" s="1087"/>
      <c r="C297" s="1096"/>
      <c r="D297" s="1092"/>
      <c r="E297" s="1092"/>
      <c r="F297" s="1094"/>
      <c r="G297" s="103"/>
      <c r="H297" s="101"/>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93"/>
      <c r="I298" s="1091"/>
      <c r="J298" s="1083"/>
      <c r="K298" s="1083"/>
      <c r="L298" s="932"/>
    </row>
    <row r="299" spans="1:12" s="106" customFormat="1" ht="15.75" hidden="1" customHeight="1" outlineLevel="1">
      <c r="A299" s="932"/>
      <c r="B299" s="1086"/>
      <c r="C299" s="1095"/>
      <c r="D299" s="1091"/>
      <c r="E299" s="1091"/>
      <c r="F299" s="1093"/>
      <c r="G299" s="98"/>
      <c r="H299" s="93"/>
      <c r="I299" s="1091"/>
      <c r="J299" s="1084"/>
      <c r="K299" s="1084"/>
      <c r="L299" s="932"/>
    </row>
    <row r="300" spans="1:12" s="106" customFormat="1" ht="15.75" hidden="1" customHeight="1" outlineLevel="1">
      <c r="A300" s="932"/>
      <c r="B300" s="1087"/>
      <c r="C300" s="1096"/>
      <c r="D300" s="1092"/>
      <c r="E300" s="1092"/>
      <c r="F300" s="1094"/>
      <c r="G300" s="103"/>
      <c r="H300" s="101"/>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93"/>
      <c r="I301" s="1091"/>
      <c r="J301" s="1083"/>
      <c r="K301" s="1083"/>
      <c r="L301" s="932"/>
    </row>
    <row r="302" spans="1:12" s="106" customFormat="1" ht="15.75" hidden="1" customHeight="1" outlineLevel="1">
      <c r="A302" s="932"/>
      <c r="B302" s="1086"/>
      <c r="C302" s="1095"/>
      <c r="D302" s="1091"/>
      <c r="E302" s="1091"/>
      <c r="F302" s="1093"/>
      <c r="G302" s="98"/>
      <c r="H302" s="93"/>
      <c r="I302" s="1091"/>
      <c r="J302" s="1084"/>
      <c r="K302" s="1084"/>
      <c r="L302" s="932"/>
    </row>
    <row r="303" spans="1:12" s="106" customFormat="1" ht="15.75" hidden="1" customHeight="1" outlineLevel="1">
      <c r="A303" s="932"/>
      <c r="B303" s="1087"/>
      <c r="C303" s="1096"/>
      <c r="D303" s="1092"/>
      <c r="E303" s="1092"/>
      <c r="F303" s="1094"/>
      <c r="G303" s="103"/>
      <c r="H303" s="101"/>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93"/>
      <c r="I304" s="1091"/>
      <c r="J304" s="1083"/>
      <c r="K304" s="1083"/>
      <c r="L304" s="932"/>
    </row>
    <row r="305" spans="1:12" s="106" customFormat="1" ht="15.75" hidden="1" customHeight="1" outlineLevel="1">
      <c r="A305" s="932"/>
      <c r="B305" s="1086"/>
      <c r="C305" s="1095"/>
      <c r="D305" s="1091"/>
      <c r="E305" s="1091"/>
      <c r="F305" s="1093"/>
      <c r="G305" s="98"/>
      <c r="H305" s="93"/>
      <c r="I305" s="1091"/>
      <c r="J305" s="1084"/>
      <c r="K305" s="1084"/>
      <c r="L305" s="932"/>
    </row>
    <row r="306" spans="1:12" s="106" customFormat="1" ht="15.75" hidden="1" customHeight="1" outlineLevel="1">
      <c r="A306" s="932"/>
      <c r="B306" s="1087"/>
      <c r="C306" s="1096"/>
      <c r="D306" s="1092"/>
      <c r="E306" s="1092"/>
      <c r="F306" s="1094"/>
      <c r="G306" s="103"/>
      <c r="H306" s="101"/>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93"/>
      <c r="I307" s="1091"/>
      <c r="J307" s="1083"/>
      <c r="K307" s="1083"/>
      <c r="L307" s="932"/>
    </row>
    <row r="308" spans="1:12" s="106" customFormat="1" ht="15.75" hidden="1" customHeight="1" outlineLevel="1">
      <c r="A308" s="932"/>
      <c r="B308" s="1086"/>
      <c r="C308" s="1095"/>
      <c r="D308" s="1091"/>
      <c r="E308" s="1091"/>
      <c r="F308" s="1093"/>
      <c r="G308" s="98"/>
      <c r="H308" s="93"/>
      <c r="I308" s="1091"/>
      <c r="J308" s="1084"/>
      <c r="K308" s="1084"/>
      <c r="L308" s="932"/>
    </row>
    <row r="309" spans="1:12" s="106" customFormat="1" ht="15.75" hidden="1" customHeight="1" outlineLevel="1">
      <c r="A309" s="932"/>
      <c r="B309" s="1087"/>
      <c r="C309" s="1096"/>
      <c r="D309" s="1092"/>
      <c r="E309" s="1092"/>
      <c r="F309" s="1094"/>
      <c r="G309" s="103"/>
      <c r="H309" s="101"/>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93"/>
      <c r="I310" s="1091"/>
      <c r="J310" s="1083"/>
      <c r="K310" s="1083"/>
      <c r="L310" s="932"/>
    </row>
    <row r="311" spans="1:12" s="106" customFormat="1" ht="15.75" hidden="1" customHeight="1" outlineLevel="1">
      <c r="A311" s="932"/>
      <c r="B311" s="1086"/>
      <c r="C311" s="1095"/>
      <c r="D311" s="1091"/>
      <c r="E311" s="1091"/>
      <c r="F311" s="1093"/>
      <c r="G311" s="98"/>
      <c r="H311" s="93"/>
      <c r="I311" s="1091"/>
      <c r="J311" s="1084"/>
      <c r="K311" s="1084"/>
      <c r="L311" s="932"/>
    </row>
    <row r="312" spans="1:12" s="106" customFormat="1" ht="15.75" hidden="1" customHeight="1" outlineLevel="1">
      <c r="A312" s="932"/>
      <c r="B312" s="1087"/>
      <c r="C312" s="1096"/>
      <c r="D312" s="1092"/>
      <c r="E312" s="1092"/>
      <c r="F312" s="1094"/>
      <c r="G312" s="103"/>
      <c r="H312" s="101"/>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93"/>
      <c r="I313" s="1091"/>
      <c r="J313" s="1083"/>
      <c r="K313" s="1083"/>
      <c r="L313" s="932"/>
    </row>
    <row r="314" spans="1:12" s="106" customFormat="1" ht="15.75" hidden="1" customHeight="1" outlineLevel="1">
      <c r="A314" s="932"/>
      <c r="B314" s="1086"/>
      <c r="C314" s="1095"/>
      <c r="D314" s="1091"/>
      <c r="E314" s="1091"/>
      <c r="F314" s="1093"/>
      <c r="G314" s="98"/>
      <c r="H314" s="93"/>
      <c r="I314" s="1091"/>
      <c r="J314" s="1084"/>
      <c r="K314" s="1084"/>
      <c r="L314" s="932"/>
    </row>
    <row r="315" spans="1:12" s="106" customFormat="1" ht="15.75" hidden="1" customHeight="1" outlineLevel="1">
      <c r="A315" s="932"/>
      <c r="B315" s="1087"/>
      <c r="C315" s="1096"/>
      <c r="D315" s="1092"/>
      <c r="E315" s="1092"/>
      <c r="F315" s="1094"/>
      <c r="G315" s="103"/>
      <c r="H315" s="101"/>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93"/>
      <c r="I316" s="1091"/>
      <c r="J316" s="1083"/>
      <c r="K316" s="1083"/>
      <c r="L316" s="932"/>
    </row>
    <row r="317" spans="1:12" s="106" customFormat="1" ht="15.75" hidden="1" customHeight="1" outlineLevel="1">
      <c r="A317" s="932"/>
      <c r="B317" s="1086"/>
      <c r="C317" s="1095"/>
      <c r="D317" s="1091"/>
      <c r="E317" s="1091"/>
      <c r="F317" s="1093"/>
      <c r="G317" s="98"/>
      <c r="H317" s="93"/>
      <c r="I317" s="1091"/>
      <c r="J317" s="1084"/>
      <c r="K317" s="1084"/>
      <c r="L317" s="932"/>
    </row>
    <row r="318" spans="1:12" s="106" customFormat="1" ht="15.75" hidden="1" customHeight="1" outlineLevel="1">
      <c r="A318" s="932"/>
      <c r="B318" s="1087"/>
      <c r="C318" s="1096"/>
      <c r="D318" s="1092"/>
      <c r="E318" s="1092"/>
      <c r="F318" s="1094"/>
      <c r="G318" s="103"/>
      <c r="H318" s="101"/>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93"/>
      <c r="I319" s="1091"/>
      <c r="J319" s="1083"/>
      <c r="K319" s="1083"/>
      <c r="L319" s="932"/>
    </row>
    <row r="320" spans="1:12" s="106" customFormat="1" ht="15.75" hidden="1" customHeight="1" outlineLevel="1">
      <c r="A320" s="932"/>
      <c r="B320" s="1086"/>
      <c r="C320" s="1095"/>
      <c r="D320" s="1091"/>
      <c r="E320" s="1091"/>
      <c r="F320" s="1093"/>
      <c r="G320" s="98"/>
      <c r="H320" s="93"/>
      <c r="I320" s="1091"/>
      <c r="J320" s="1084"/>
      <c r="K320" s="1084"/>
      <c r="L320" s="932"/>
    </row>
    <row r="321" spans="1:12" s="106" customFormat="1" ht="15.75" hidden="1" customHeight="1" outlineLevel="1">
      <c r="A321" s="932"/>
      <c r="B321" s="1087"/>
      <c r="C321" s="1096"/>
      <c r="D321" s="1092"/>
      <c r="E321" s="1092"/>
      <c r="F321" s="1094"/>
      <c r="G321" s="103"/>
      <c r="H321" s="101"/>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93"/>
      <c r="I322" s="1091"/>
      <c r="J322" s="1083"/>
      <c r="K322" s="1083"/>
      <c r="L322" s="932"/>
    </row>
    <row r="323" spans="1:12" s="106" customFormat="1" ht="15.75" hidden="1" customHeight="1" outlineLevel="1">
      <c r="A323" s="932"/>
      <c r="B323" s="1086"/>
      <c r="C323" s="1095"/>
      <c r="D323" s="1091"/>
      <c r="E323" s="1091"/>
      <c r="F323" s="1093"/>
      <c r="G323" s="98"/>
      <c r="H323" s="93"/>
      <c r="I323" s="1091"/>
      <c r="J323" s="1084"/>
      <c r="K323" s="1084"/>
      <c r="L323" s="932"/>
    </row>
    <row r="324" spans="1:12" s="106" customFormat="1" ht="15.75" hidden="1" customHeight="1" outlineLevel="1">
      <c r="A324" s="932"/>
      <c r="B324" s="1087"/>
      <c r="C324" s="1096"/>
      <c r="D324" s="1092"/>
      <c r="E324" s="1092"/>
      <c r="F324" s="1094"/>
      <c r="G324" s="103"/>
      <c r="H324" s="101"/>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93"/>
      <c r="I325" s="1091"/>
      <c r="J325" s="1083"/>
      <c r="K325" s="1083"/>
      <c r="L325" s="932"/>
    </row>
    <row r="326" spans="1:12" s="106" customFormat="1" ht="15.75" hidden="1" customHeight="1" outlineLevel="1">
      <c r="A326" s="932"/>
      <c r="B326" s="1086"/>
      <c r="C326" s="1095"/>
      <c r="D326" s="1091"/>
      <c r="E326" s="1091"/>
      <c r="F326" s="1093"/>
      <c r="G326" s="98"/>
      <c r="H326" s="93"/>
      <c r="I326" s="1091"/>
      <c r="J326" s="1084"/>
      <c r="K326" s="1084"/>
      <c r="L326" s="932"/>
    </row>
    <row r="327" spans="1:12" s="106" customFormat="1" ht="15.75" hidden="1" customHeight="1" outlineLevel="1">
      <c r="A327" s="932"/>
      <c r="B327" s="1087"/>
      <c r="C327" s="1096"/>
      <c r="D327" s="1092"/>
      <c r="E327" s="1092"/>
      <c r="F327" s="1094"/>
      <c r="G327" s="103"/>
      <c r="H327" s="101"/>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93"/>
      <c r="I328" s="1091"/>
      <c r="J328" s="1083"/>
      <c r="K328" s="1083"/>
      <c r="L328" s="932"/>
    </row>
    <row r="329" spans="1:12" s="106" customFormat="1" ht="15.75" hidden="1" customHeight="1" outlineLevel="1">
      <c r="A329" s="932"/>
      <c r="B329" s="1086"/>
      <c r="C329" s="1095"/>
      <c r="D329" s="1091"/>
      <c r="E329" s="1091"/>
      <c r="F329" s="1093"/>
      <c r="G329" s="98"/>
      <c r="H329" s="93"/>
      <c r="I329" s="1091"/>
      <c r="J329" s="1084"/>
      <c r="K329" s="1084"/>
      <c r="L329" s="932"/>
    </row>
    <row r="330" spans="1:12" s="106" customFormat="1" ht="15.75" hidden="1" customHeight="1" outlineLevel="1">
      <c r="A330" s="932"/>
      <c r="B330" s="1087"/>
      <c r="C330" s="1096"/>
      <c r="D330" s="1092"/>
      <c r="E330" s="1092"/>
      <c r="F330" s="1094"/>
      <c r="G330" s="103"/>
      <c r="H330" s="101"/>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93"/>
      <c r="I331" s="1091"/>
      <c r="J331" s="1083"/>
      <c r="K331" s="1083"/>
      <c r="L331" s="932"/>
    </row>
    <row r="332" spans="1:12" s="106" customFormat="1" ht="15.75" hidden="1" customHeight="1" outlineLevel="1">
      <c r="A332" s="932"/>
      <c r="B332" s="1086"/>
      <c r="C332" s="1095"/>
      <c r="D332" s="1091"/>
      <c r="E332" s="1091"/>
      <c r="F332" s="1093"/>
      <c r="G332" s="98"/>
      <c r="H332" s="93"/>
      <c r="I332" s="1091"/>
      <c r="J332" s="1084"/>
      <c r="K332" s="1084"/>
      <c r="L332" s="932"/>
    </row>
    <row r="333" spans="1:12" s="106" customFormat="1" ht="15.75" hidden="1" customHeight="1" outlineLevel="1">
      <c r="A333" s="932"/>
      <c r="B333" s="1087"/>
      <c r="C333" s="1096"/>
      <c r="D333" s="1092"/>
      <c r="E333" s="1092"/>
      <c r="F333" s="1094"/>
      <c r="G333" s="103"/>
      <c r="H333" s="101"/>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93"/>
      <c r="I334" s="1091"/>
      <c r="J334" s="1083"/>
      <c r="K334" s="1083"/>
      <c r="L334" s="932"/>
    </row>
    <row r="335" spans="1:12" s="106" customFormat="1" ht="15.75" hidden="1" customHeight="1" outlineLevel="1">
      <c r="A335" s="932"/>
      <c r="B335" s="1086"/>
      <c r="C335" s="1095"/>
      <c r="D335" s="1091"/>
      <c r="E335" s="1091"/>
      <c r="F335" s="1093"/>
      <c r="G335" s="98"/>
      <c r="H335" s="93"/>
      <c r="I335" s="1091"/>
      <c r="J335" s="1084"/>
      <c r="K335" s="1084"/>
      <c r="L335" s="932"/>
    </row>
    <row r="336" spans="1:12" s="106" customFormat="1" ht="15.75" hidden="1" customHeight="1" outlineLevel="1">
      <c r="A336" s="932"/>
      <c r="B336" s="1087"/>
      <c r="C336" s="1096"/>
      <c r="D336" s="1092"/>
      <c r="E336" s="1092"/>
      <c r="F336" s="1094"/>
      <c r="G336" s="103"/>
      <c r="H336" s="101"/>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93"/>
      <c r="I337" s="1091"/>
      <c r="J337" s="1083"/>
      <c r="K337" s="1083"/>
      <c r="L337" s="932"/>
    </row>
    <row r="338" spans="1:12" s="106" customFormat="1" ht="15.75" hidden="1" customHeight="1" outlineLevel="1">
      <c r="A338" s="932"/>
      <c r="B338" s="1086"/>
      <c r="C338" s="1095"/>
      <c r="D338" s="1091"/>
      <c r="E338" s="1091"/>
      <c r="F338" s="1093"/>
      <c r="G338" s="98"/>
      <c r="H338" s="93"/>
      <c r="I338" s="1091"/>
      <c r="J338" s="1084"/>
      <c r="K338" s="1084"/>
      <c r="L338" s="932"/>
    </row>
    <row r="339" spans="1:12" s="106" customFormat="1" ht="15.75" hidden="1" customHeight="1" outlineLevel="1">
      <c r="A339" s="932"/>
      <c r="B339" s="1087"/>
      <c r="C339" s="1096"/>
      <c r="D339" s="1092"/>
      <c r="E339" s="1092"/>
      <c r="F339" s="1094"/>
      <c r="G339" s="103"/>
      <c r="H339" s="101"/>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93"/>
      <c r="I340" s="1091"/>
      <c r="J340" s="1083"/>
      <c r="K340" s="1083"/>
      <c r="L340" s="932"/>
    </row>
    <row r="341" spans="1:12" s="106" customFormat="1" ht="15.75" hidden="1" customHeight="1" outlineLevel="1">
      <c r="A341" s="932"/>
      <c r="B341" s="1086"/>
      <c r="C341" s="1095"/>
      <c r="D341" s="1091"/>
      <c r="E341" s="1091"/>
      <c r="F341" s="1093"/>
      <c r="G341" s="98"/>
      <c r="H341" s="93"/>
      <c r="I341" s="1091"/>
      <c r="J341" s="1084"/>
      <c r="K341" s="1084"/>
      <c r="L341" s="932"/>
    </row>
    <row r="342" spans="1:12" s="106" customFormat="1" ht="15.75" hidden="1" customHeight="1" outlineLevel="1">
      <c r="A342" s="932"/>
      <c r="B342" s="1087"/>
      <c r="C342" s="1096"/>
      <c r="D342" s="1092"/>
      <c r="E342" s="1092"/>
      <c r="F342" s="1094"/>
      <c r="G342" s="103"/>
      <c r="H342" s="101"/>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93"/>
      <c r="I343" s="1091"/>
      <c r="J343" s="1083"/>
      <c r="K343" s="1083"/>
      <c r="L343" s="932"/>
    </row>
    <row r="344" spans="1:12" s="106" customFormat="1" ht="15.75" hidden="1" customHeight="1" outlineLevel="1">
      <c r="A344" s="932"/>
      <c r="B344" s="1086"/>
      <c r="C344" s="1095"/>
      <c r="D344" s="1091"/>
      <c r="E344" s="1091"/>
      <c r="F344" s="1093"/>
      <c r="G344" s="98"/>
      <c r="H344" s="93"/>
      <c r="I344" s="1091"/>
      <c r="J344" s="1084"/>
      <c r="K344" s="1084"/>
      <c r="L344" s="932"/>
    </row>
    <row r="345" spans="1:12" s="106" customFormat="1" ht="15.75" hidden="1" customHeight="1" outlineLevel="1">
      <c r="A345" s="932"/>
      <c r="B345" s="1087"/>
      <c r="C345" s="1096"/>
      <c r="D345" s="1092"/>
      <c r="E345" s="1092"/>
      <c r="F345" s="1094"/>
      <c r="G345" s="103"/>
      <c r="H345" s="101"/>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93"/>
      <c r="I346" s="1091"/>
      <c r="J346" s="1083"/>
      <c r="K346" s="1083"/>
      <c r="L346" s="932"/>
    </row>
    <row r="347" spans="1:12" s="106" customFormat="1" ht="15.75" hidden="1" customHeight="1" outlineLevel="1">
      <c r="A347" s="932"/>
      <c r="B347" s="1086"/>
      <c r="C347" s="1095"/>
      <c r="D347" s="1091"/>
      <c r="E347" s="1091"/>
      <c r="F347" s="1093"/>
      <c r="G347" s="98"/>
      <c r="H347" s="93"/>
      <c r="I347" s="1091"/>
      <c r="J347" s="1084"/>
      <c r="K347" s="1084"/>
      <c r="L347" s="932"/>
    </row>
    <row r="348" spans="1:12" s="106" customFormat="1" ht="15.75" hidden="1" customHeight="1" outlineLevel="1">
      <c r="A348" s="932"/>
      <c r="B348" s="1087"/>
      <c r="C348" s="1096"/>
      <c r="D348" s="1092"/>
      <c r="E348" s="1092"/>
      <c r="F348" s="1094"/>
      <c r="G348" s="103"/>
      <c r="H348" s="101"/>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93"/>
      <c r="I349" s="1091"/>
      <c r="J349" s="1083"/>
      <c r="K349" s="1083"/>
      <c r="L349" s="932"/>
    </row>
    <row r="350" spans="1:12" s="106" customFormat="1" ht="15.75" hidden="1" customHeight="1" outlineLevel="1">
      <c r="A350" s="932"/>
      <c r="B350" s="1086"/>
      <c r="C350" s="1095"/>
      <c r="D350" s="1091"/>
      <c r="E350" s="1091"/>
      <c r="F350" s="1093"/>
      <c r="G350" s="98"/>
      <c r="H350" s="93"/>
      <c r="I350" s="1091"/>
      <c r="J350" s="1084"/>
      <c r="K350" s="1084"/>
      <c r="L350" s="932"/>
    </row>
    <row r="351" spans="1:12" s="106" customFormat="1" ht="15.75" hidden="1" customHeight="1" outlineLevel="1">
      <c r="A351" s="932"/>
      <c r="B351" s="1087"/>
      <c r="C351" s="1096"/>
      <c r="D351" s="1092"/>
      <c r="E351" s="1092"/>
      <c r="F351" s="1094"/>
      <c r="G351" s="103"/>
      <c r="H351" s="101"/>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93"/>
      <c r="I352" s="1091"/>
      <c r="J352" s="1083"/>
      <c r="K352" s="1083"/>
      <c r="L352" s="932"/>
    </row>
    <row r="353" spans="1:12" s="106" customFormat="1" ht="15.75" hidden="1" customHeight="1" outlineLevel="1">
      <c r="A353" s="932"/>
      <c r="B353" s="1086"/>
      <c r="C353" s="1095"/>
      <c r="D353" s="1091"/>
      <c r="E353" s="1091"/>
      <c r="F353" s="1093"/>
      <c r="G353" s="98"/>
      <c r="H353" s="93"/>
      <c r="I353" s="1091"/>
      <c r="J353" s="1084"/>
      <c r="K353" s="1084"/>
      <c r="L353" s="932"/>
    </row>
    <row r="354" spans="1:12" s="106" customFormat="1" ht="15.75" hidden="1" customHeight="1" outlineLevel="1">
      <c r="A354" s="932"/>
      <c r="B354" s="1087"/>
      <c r="C354" s="1096"/>
      <c r="D354" s="1092"/>
      <c r="E354" s="1092"/>
      <c r="F354" s="1094"/>
      <c r="G354" s="103"/>
      <c r="H354" s="101"/>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93"/>
      <c r="I355" s="1091"/>
      <c r="J355" s="1083"/>
      <c r="K355" s="1083"/>
      <c r="L355" s="932"/>
    </row>
    <row r="356" spans="1:12" s="106" customFormat="1" ht="15.75" hidden="1" customHeight="1" outlineLevel="1">
      <c r="A356" s="932"/>
      <c r="B356" s="1086"/>
      <c r="C356" s="1095"/>
      <c r="D356" s="1091"/>
      <c r="E356" s="1091"/>
      <c r="F356" s="1093"/>
      <c r="G356" s="98"/>
      <c r="H356" s="93"/>
      <c r="I356" s="1091"/>
      <c r="J356" s="1084"/>
      <c r="K356" s="1084"/>
      <c r="L356" s="932"/>
    </row>
    <row r="357" spans="1:12" s="106" customFormat="1" ht="15.75" hidden="1" customHeight="1" outlineLevel="1">
      <c r="A357" s="932"/>
      <c r="B357" s="1087"/>
      <c r="C357" s="1096"/>
      <c r="D357" s="1092"/>
      <c r="E357" s="1092"/>
      <c r="F357" s="1094"/>
      <c r="G357" s="103"/>
      <c r="H357" s="101"/>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93"/>
      <c r="I358" s="1091"/>
      <c r="J358" s="1083"/>
      <c r="K358" s="1083"/>
      <c r="L358" s="932"/>
    </row>
    <row r="359" spans="1:12" s="106" customFormat="1" ht="15.75" hidden="1" customHeight="1" outlineLevel="1">
      <c r="A359" s="932"/>
      <c r="B359" s="1086"/>
      <c r="C359" s="1095"/>
      <c r="D359" s="1091"/>
      <c r="E359" s="1091"/>
      <c r="F359" s="1093"/>
      <c r="G359" s="98"/>
      <c r="H359" s="93"/>
      <c r="I359" s="1091"/>
      <c r="J359" s="1084"/>
      <c r="K359" s="1084"/>
      <c r="L359" s="932"/>
    </row>
    <row r="360" spans="1:12" s="106" customFormat="1" ht="15.75" hidden="1" customHeight="1" outlineLevel="1">
      <c r="A360" s="932"/>
      <c r="B360" s="1087"/>
      <c r="C360" s="1096"/>
      <c r="D360" s="1092"/>
      <c r="E360" s="1092"/>
      <c r="F360" s="1094"/>
      <c r="G360" s="103"/>
      <c r="H360" s="101"/>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93"/>
      <c r="I361" s="1091"/>
      <c r="J361" s="1083"/>
      <c r="K361" s="1083"/>
      <c r="L361" s="932"/>
    </row>
    <row r="362" spans="1:12" s="106" customFormat="1" ht="15.75" hidden="1" customHeight="1" outlineLevel="1">
      <c r="A362" s="932"/>
      <c r="B362" s="1086"/>
      <c r="C362" s="1095"/>
      <c r="D362" s="1091"/>
      <c r="E362" s="1091"/>
      <c r="F362" s="1093"/>
      <c r="G362" s="98"/>
      <c r="H362" s="93"/>
      <c r="I362" s="1091"/>
      <c r="J362" s="1084"/>
      <c r="K362" s="1084"/>
      <c r="L362" s="932"/>
    </row>
    <row r="363" spans="1:12" s="106" customFormat="1" ht="15.75" hidden="1" customHeight="1" outlineLevel="1">
      <c r="A363" s="932"/>
      <c r="B363" s="1087"/>
      <c r="C363" s="1096"/>
      <c r="D363" s="1092"/>
      <c r="E363" s="1092"/>
      <c r="F363" s="1094"/>
      <c r="G363" s="103"/>
      <c r="H363" s="101"/>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93"/>
      <c r="I364" s="1091"/>
      <c r="J364" s="1083"/>
      <c r="K364" s="1083"/>
      <c r="L364" s="932"/>
    </row>
    <row r="365" spans="1:12" s="106" customFormat="1" ht="15.75" hidden="1" customHeight="1" outlineLevel="1">
      <c r="A365" s="932"/>
      <c r="B365" s="1086"/>
      <c r="C365" s="1095"/>
      <c r="D365" s="1091"/>
      <c r="E365" s="1091"/>
      <c r="F365" s="1093"/>
      <c r="G365" s="98"/>
      <c r="H365" s="93"/>
      <c r="I365" s="1091"/>
      <c r="J365" s="1084"/>
      <c r="K365" s="1084"/>
      <c r="L365" s="932"/>
    </row>
    <row r="366" spans="1:12" s="106" customFormat="1" ht="15.75" hidden="1" customHeight="1" outlineLevel="1">
      <c r="A366" s="932"/>
      <c r="B366" s="1087"/>
      <c r="C366" s="1096"/>
      <c r="D366" s="1092"/>
      <c r="E366" s="1092"/>
      <c r="F366" s="1094"/>
      <c r="G366" s="103"/>
      <c r="H366" s="101"/>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93"/>
      <c r="I367" s="1091"/>
      <c r="J367" s="1083"/>
      <c r="K367" s="1083"/>
      <c r="L367" s="932"/>
    </row>
    <row r="368" spans="1:12" s="106" customFormat="1" ht="15.75" hidden="1" customHeight="1" outlineLevel="1">
      <c r="A368" s="932"/>
      <c r="B368" s="1086"/>
      <c r="C368" s="1095"/>
      <c r="D368" s="1091"/>
      <c r="E368" s="1091"/>
      <c r="F368" s="1093"/>
      <c r="G368" s="98"/>
      <c r="H368" s="93"/>
      <c r="I368" s="1091"/>
      <c r="J368" s="1084"/>
      <c r="K368" s="1084"/>
      <c r="L368" s="932"/>
    </row>
    <row r="369" spans="1:12" s="106" customFormat="1" ht="15.75" hidden="1" customHeight="1" outlineLevel="1">
      <c r="A369" s="932"/>
      <c r="B369" s="1087"/>
      <c r="C369" s="1096"/>
      <c r="D369" s="1092"/>
      <c r="E369" s="1092"/>
      <c r="F369" s="1094"/>
      <c r="G369" s="103"/>
      <c r="H369" s="101"/>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93"/>
      <c r="I370" s="1091"/>
      <c r="J370" s="1083"/>
      <c r="K370" s="1083"/>
      <c r="L370" s="932"/>
    </row>
    <row r="371" spans="1:12" s="106" customFormat="1" ht="15.75" hidden="1" customHeight="1" outlineLevel="1">
      <c r="A371" s="932"/>
      <c r="B371" s="1086"/>
      <c r="C371" s="1095"/>
      <c r="D371" s="1091"/>
      <c r="E371" s="1091"/>
      <c r="F371" s="1093"/>
      <c r="G371" s="98"/>
      <c r="H371" s="93"/>
      <c r="I371" s="1091"/>
      <c r="J371" s="1084"/>
      <c r="K371" s="1084"/>
      <c r="L371" s="932"/>
    </row>
    <row r="372" spans="1:12" s="106" customFormat="1" ht="15.75" hidden="1" customHeight="1" outlineLevel="1">
      <c r="A372" s="932"/>
      <c r="B372" s="1087"/>
      <c r="C372" s="1096"/>
      <c r="D372" s="1092"/>
      <c r="E372" s="1092"/>
      <c r="F372" s="1094"/>
      <c r="G372" s="103"/>
      <c r="H372" s="101"/>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93"/>
      <c r="I373" s="1091"/>
      <c r="J373" s="1083"/>
      <c r="K373" s="1083"/>
      <c r="L373" s="932"/>
    </row>
    <row r="374" spans="1:12" s="106" customFormat="1" ht="15.75" hidden="1" customHeight="1" outlineLevel="1">
      <c r="A374" s="932"/>
      <c r="B374" s="1086"/>
      <c r="C374" s="1095"/>
      <c r="D374" s="1091"/>
      <c r="E374" s="1091"/>
      <c r="F374" s="1093"/>
      <c r="G374" s="98"/>
      <c r="H374" s="93"/>
      <c r="I374" s="1091"/>
      <c r="J374" s="1084"/>
      <c r="K374" s="1084"/>
      <c r="L374" s="932"/>
    </row>
    <row r="375" spans="1:12" s="106" customFormat="1" ht="15.75" hidden="1" customHeight="1" outlineLevel="1">
      <c r="A375" s="932"/>
      <c r="B375" s="1087"/>
      <c r="C375" s="1096"/>
      <c r="D375" s="1092"/>
      <c r="E375" s="1092"/>
      <c r="F375" s="1094"/>
      <c r="G375" s="103"/>
      <c r="H375" s="101"/>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93"/>
      <c r="I376" s="1091"/>
      <c r="J376" s="1083"/>
      <c r="K376" s="1083"/>
      <c r="L376" s="932"/>
    </row>
    <row r="377" spans="1:12" s="106" customFormat="1" ht="15.75" hidden="1" customHeight="1" outlineLevel="1">
      <c r="A377" s="932"/>
      <c r="B377" s="1086"/>
      <c r="C377" s="1095"/>
      <c r="D377" s="1091"/>
      <c r="E377" s="1091"/>
      <c r="F377" s="1093"/>
      <c r="G377" s="98"/>
      <c r="H377" s="93"/>
      <c r="I377" s="1091"/>
      <c r="J377" s="1084"/>
      <c r="K377" s="1084"/>
      <c r="L377" s="932"/>
    </row>
    <row r="378" spans="1:12" s="106" customFormat="1" ht="15.75" hidden="1" customHeight="1" outlineLevel="1">
      <c r="A378" s="932"/>
      <c r="B378" s="1087"/>
      <c r="C378" s="1096"/>
      <c r="D378" s="1092"/>
      <c r="E378" s="1092"/>
      <c r="F378" s="1094"/>
      <c r="G378" s="103"/>
      <c r="H378" s="101"/>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93"/>
      <c r="I379" s="1091"/>
      <c r="J379" s="1083"/>
      <c r="K379" s="1083"/>
      <c r="L379" s="932"/>
    </row>
    <row r="380" spans="1:12" s="106" customFormat="1" ht="15.75" hidden="1" customHeight="1" outlineLevel="1">
      <c r="A380" s="932"/>
      <c r="B380" s="1086"/>
      <c r="C380" s="1095"/>
      <c r="D380" s="1091"/>
      <c r="E380" s="1091"/>
      <c r="F380" s="1093"/>
      <c r="G380" s="98"/>
      <c r="H380" s="93"/>
      <c r="I380" s="1091"/>
      <c r="J380" s="1084"/>
      <c r="K380" s="1084"/>
      <c r="L380" s="932"/>
    </row>
    <row r="381" spans="1:12" s="106" customFormat="1" ht="15.75" hidden="1" customHeight="1" outlineLevel="1">
      <c r="A381" s="932"/>
      <c r="B381" s="1087"/>
      <c r="C381" s="1096"/>
      <c r="D381" s="1092"/>
      <c r="E381" s="1092"/>
      <c r="F381" s="1094"/>
      <c r="G381" s="103"/>
      <c r="H381" s="101"/>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93"/>
      <c r="I382" s="1091"/>
      <c r="J382" s="1083"/>
      <c r="K382" s="1083"/>
      <c r="L382" s="932"/>
    </row>
    <row r="383" spans="1:12" s="106" customFormat="1" ht="15.75" hidden="1" customHeight="1" outlineLevel="1">
      <c r="A383" s="932"/>
      <c r="B383" s="1086"/>
      <c r="C383" s="1095"/>
      <c r="D383" s="1091"/>
      <c r="E383" s="1091"/>
      <c r="F383" s="1093"/>
      <c r="G383" s="98"/>
      <c r="H383" s="93"/>
      <c r="I383" s="1091"/>
      <c r="J383" s="1084"/>
      <c r="K383" s="1084"/>
      <c r="L383" s="932"/>
    </row>
    <row r="384" spans="1:12" s="106" customFormat="1" ht="15.75" hidden="1" customHeight="1" outlineLevel="1">
      <c r="A384" s="932"/>
      <c r="B384" s="1087"/>
      <c r="C384" s="1096"/>
      <c r="D384" s="1092"/>
      <c r="E384" s="1092"/>
      <c r="F384" s="1094"/>
      <c r="G384" s="103"/>
      <c r="H384" s="101"/>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93"/>
      <c r="I385" s="1091"/>
      <c r="J385" s="1083"/>
      <c r="K385" s="1083"/>
      <c r="L385" s="932"/>
    </row>
    <row r="386" spans="1:12" s="106" customFormat="1" ht="15.75" hidden="1" customHeight="1" outlineLevel="1">
      <c r="A386" s="932"/>
      <c r="B386" s="1086"/>
      <c r="C386" s="1095"/>
      <c r="D386" s="1091"/>
      <c r="E386" s="1091"/>
      <c r="F386" s="1093"/>
      <c r="G386" s="98"/>
      <c r="H386" s="93"/>
      <c r="I386" s="1091"/>
      <c r="J386" s="1084"/>
      <c r="K386" s="1084"/>
      <c r="L386" s="932"/>
    </row>
    <row r="387" spans="1:12" s="106" customFormat="1" ht="15.75" hidden="1" customHeight="1" outlineLevel="1">
      <c r="A387" s="932"/>
      <c r="B387" s="1087"/>
      <c r="C387" s="1096"/>
      <c r="D387" s="1092"/>
      <c r="E387" s="1092"/>
      <c r="F387" s="1094"/>
      <c r="G387" s="103"/>
      <c r="H387" s="101"/>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93"/>
      <c r="I388" s="1091"/>
      <c r="J388" s="1083"/>
      <c r="K388" s="1083"/>
      <c r="L388" s="932"/>
    </row>
    <row r="389" spans="1:12" s="106" customFormat="1" ht="15.75" hidden="1" customHeight="1" outlineLevel="1">
      <c r="A389" s="932"/>
      <c r="B389" s="1086"/>
      <c r="C389" s="1095"/>
      <c r="D389" s="1091"/>
      <c r="E389" s="1091"/>
      <c r="F389" s="1093"/>
      <c r="G389" s="98"/>
      <c r="H389" s="93"/>
      <c r="I389" s="1091"/>
      <c r="J389" s="1084"/>
      <c r="K389" s="1084"/>
      <c r="L389" s="932"/>
    </row>
    <row r="390" spans="1:12" s="106" customFormat="1" ht="15.75" hidden="1" customHeight="1" outlineLevel="1">
      <c r="A390" s="932"/>
      <c r="B390" s="1087"/>
      <c r="C390" s="1096"/>
      <c r="D390" s="1092"/>
      <c r="E390" s="1092"/>
      <c r="F390" s="1094"/>
      <c r="G390" s="103"/>
      <c r="H390" s="101"/>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93"/>
      <c r="I391" s="1091"/>
      <c r="J391" s="1083"/>
      <c r="K391" s="1083"/>
      <c r="L391" s="932"/>
    </row>
    <row r="392" spans="1:12" s="106" customFormat="1" ht="15.75" hidden="1" customHeight="1" outlineLevel="1">
      <c r="A392" s="932"/>
      <c r="B392" s="1086"/>
      <c r="C392" s="1095"/>
      <c r="D392" s="1091"/>
      <c r="E392" s="1091"/>
      <c r="F392" s="1093"/>
      <c r="G392" s="98"/>
      <c r="H392" s="93"/>
      <c r="I392" s="1091"/>
      <c r="J392" s="1084"/>
      <c r="K392" s="1084"/>
      <c r="L392" s="932"/>
    </row>
    <row r="393" spans="1:12" s="106" customFormat="1" ht="15.75" hidden="1" customHeight="1" outlineLevel="1">
      <c r="A393" s="932"/>
      <c r="B393" s="1087"/>
      <c r="C393" s="1096"/>
      <c r="D393" s="1092"/>
      <c r="E393" s="1092"/>
      <c r="F393" s="1094"/>
      <c r="G393" s="103"/>
      <c r="H393" s="101"/>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93"/>
      <c r="I394" s="1091"/>
      <c r="J394" s="1083"/>
      <c r="K394" s="1083"/>
      <c r="L394" s="932"/>
    </row>
    <row r="395" spans="1:12" s="106" customFormat="1" ht="15.75" hidden="1" customHeight="1" outlineLevel="1">
      <c r="A395" s="932"/>
      <c r="B395" s="1086"/>
      <c r="C395" s="1095"/>
      <c r="D395" s="1091"/>
      <c r="E395" s="1091"/>
      <c r="F395" s="1093"/>
      <c r="G395" s="98"/>
      <c r="H395" s="93"/>
      <c r="I395" s="1091"/>
      <c r="J395" s="1084"/>
      <c r="K395" s="1084"/>
      <c r="L395" s="932"/>
    </row>
    <row r="396" spans="1:12" s="106" customFormat="1" ht="15.75" hidden="1" customHeight="1" outlineLevel="1">
      <c r="A396" s="932"/>
      <c r="B396" s="1087"/>
      <c r="C396" s="1096"/>
      <c r="D396" s="1092"/>
      <c r="E396" s="1092"/>
      <c r="F396" s="1094"/>
      <c r="G396" s="103"/>
      <c r="H396" s="101"/>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93"/>
      <c r="I397" s="1091"/>
      <c r="J397" s="1083"/>
      <c r="K397" s="1083"/>
      <c r="L397" s="932"/>
    </row>
    <row r="398" spans="1:12" s="106" customFormat="1" ht="15.75" hidden="1" customHeight="1" outlineLevel="1">
      <c r="A398" s="932"/>
      <c r="B398" s="1086"/>
      <c r="C398" s="1095"/>
      <c r="D398" s="1091"/>
      <c r="E398" s="1091"/>
      <c r="F398" s="1093"/>
      <c r="G398" s="98"/>
      <c r="H398" s="93"/>
      <c r="I398" s="1091"/>
      <c r="J398" s="1084"/>
      <c r="K398" s="1084"/>
      <c r="L398" s="932"/>
    </row>
    <row r="399" spans="1:12" s="106" customFormat="1" ht="15.75" hidden="1" customHeight="1" outlineLevel="1">
      <c r="A399" s="932"/>
      <c r="B399" s="1087"/>
      <c r="C399" s="1096"/>
      <c r="D399" s="1092"/>
      <c r="E399" s="1092"/>
      <c r="F399" s="1094"/>
      <c r="G399" s="103"/>
      <c r="H399" s="101"/>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93"/>
      <c r="I400" s="1091"/>
      <c r="J400" s="1083"/>
      <c r="K400" s="1083"/>
      <c r="L400" s="932"/>
    </row>
    <row r="401" spans="1:12" s="106" customFormat="1" ht="15.75" hidden="1" customHeight="1" outlineLevel="1">
      <c r="A401" s="932"/>
      <c r="B401" s="1086"/>
      <c r="C401" s="1095"/>
      <c r="D401" s="1091"/>
      <c r="E401" s="1091"/>
      <c r="F401" s="1093"/>
      <c r="G401" s="98"/>
      <c r="H401" s="93"/>
      <c r="I401" s="1091"/>
      <c r="J401" s="1084"/>
      <c r="K401" s="1084"/>
      <c r="L401" s="932"/>
    </row>
    <row r="402" spans="1:12" s="106" customFormat="1" ht="15.75" hidden="1" customHeight="1" outlineLevel="1">
      <c r="A402" s="932"/>
      <c r="B402" s="1087"/>
      <c r="C402" s="1096"/>
      <c r="D402" s="1092"/>
      <c r="E402" s="1092"/>
      <c r="F402" s="1094"/>
      <c r="G402" s="103"/>
      <c r="H402" s="101"/>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93"/>
      <c r="I403" s="1091"/>
      <c r="J403" s="1083"/>
      <c r="K403" s="1083"/>
      <c r="L403" s="932"/>
    </row>
    <row r="404" spans="1:12" s="106" customFormat="1" ht="15.75" hidden="1" customHeight="1" outlineLevel="1">
      <c r="A404" s="932"/>
      <c r="B404" s="1086"/>
      <c r="C404" s="1095"/>
      <c r="D404" s="1091"/>
      <c r="E404" s="1091"/>
      <c r="F404" s="1093"/>
      <c r="G404" s="98"/>
      <c r="H404" s="93"/>
      <c r="I404" s="1091"/>
      <c r="J404" s="1084"/>
      <c r="K404" s="1084"/>
      <c r="L404" s="932"/>
    </row>
    <row r="405" spans="1:12" s="106" customFormat="1" ht="15.75" hidden="1" customHeight="1" outlineLevel="1">
      <c r="A405" s="932"/>
      <c r="B405" s="1087"/>
      <c r="C405" s="1096"/>
      <c r="D405" s="1092"/>
      <c r="E405" s="1092"/>
      <c r="F405" s="1094"/>
      <c r="G405" s="103"/>
      <c r="H405" s="101"/>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93"/>
      <c r="I406" s="1091"/>
      <c r="J406" s="1083"/>
      <c r="K406" s="1083"/>
      <c r="L406" s="932"/>
    </row>
    <row r="407" spans="1:12" s="106" customFormat="1" ht="15.75" hidden="1" customHeight="1" outlineLevel="1">
      <c r="A407" s="932"/>
      <c r="B407" s="1086"/>
      <c r="C407" s="1095"/>
      <c r="D407" s="1091"/>
      <c r="E407" s="1091"/>
      <c r="F407" s="1093"/>
      <c r="G407" s="98"/>
      <c r="H407" s="93"/>
      <c r="I407" s="1091"/>
      <c r="J407" s="1084"/>
      <c r="K407" s="1084"/>
      <c r="L407" s="932"/>
    </row>
    <row r="408" spans="1:12" s="106" customFormat="1" ht="15.75" hidden="1" customHeight="1" outlineLevel="1">
      <c r="A408" s="932"/>
      <c r="B408" s="1087"/>
      <c r="C408" s="1096"/>
      <c r="D408" s="1092"/>
      <c r="E408" s="1092"/>
      <c r="F408" s="1094"/>
      <c r="G408" s="103"/>
      <c r="H408" s="101"/>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93"/>
      <c r="I409" s="1091"/>
      <c r="J409" s="1083"/>
      <c r="K409" s="1083"/>
      <c r="L409" s="932"/>
    </row>
    <row r="410" spans="1:12" s="106" customFormat="1" ht="15.75" hidden="1" customHeight="1" outlineLevel="1">
      <c r="A410" s="932"/>
      <c r="B410" s="1086"/>
      <c r="C410" s="1095"/>
      <c r="D410" s="1091"/>
      <c r="E410" s="1091"/>
      <c r="F410" s="1093"/>
      <c r="G410" s="98"/>
      <c r="H410" s="93"/>
      <c r="I410" s="1091"/>
      <c r="J410" s="1084"/>
      <c r="K410" s="1084"/>
      <c r="L410" s="932"/>
    </row>
    <row r="411" spans="1:12" s="106" customFormat="1" ht="15.75" hidden="1" customHeight="1" outlineLevel="1">
      <c r="A411" s="932"/>
      <c r="B411" s="1087"/>
      <c r="C411" s="1096"/>
      <c r="D411" s="1092"/>
      <c r="E411" s="1092"/>
      <c r="F411" s="1094"/>
      <c r="G411" s="103"/>
      <c r="H411" s="101"/>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93"/>
      <c r="I412" s="1091"/>
      <c r="J412" s="1083"/>
      <c r="K412" s="1083"/>
      <c r="L412" s="932"/>
    </row>
    <row r="413" spans="1:12" s="106" customFormat="1" ht="15.75" hidden="1" customHeight="1" outlineLevel="1">
      <c r="A413" s="932"/>
      <c r="B413" s="1086"/>
      <c r="C413" s="1095"/>
      <c r="D413" s="1091"/>
      <c r="E413" s="1091"/>
      <c r="F413" s="1093"/>
      <c r="G413" s="98"/>
      <c r="H413" s="93"/>
      <c r="I413" s="1091"/>
      <c r="J413" s="1084"/>
      <c r="K413" s="1084"/>
      <c r="L413" s="932"/>
    </row>
    <row r="414" spans="1:12" s="106" customFormat="1" ht="15.75" hidden="1" customHeight="1" outlineLevel="1">
      <c r="A414" s="932"/>
      <c r="B414" s="1087"/>
      <c r="C414" s="1096"/>
      <c r="D414" s="1092"/>
      <c r="E414" s="1092"/>
      <c r="F414" s="1094"/>
      <c r="G414" s="103"/>
      <c r="H414" s="101"/>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93"/>
      <c r="I415" s="1091"/>
      <c r="J415" s="1083"/>
      <c r="K415" s="1083"/>
      <c r="L415" s="932"/>
    </row>
    <row r="416" spans="1:12" s="106" customFormat="1" ht="15.75" hidden="1" customHeight="1" outlineLevel="1">
      <c r="A416" s="932"/>
      <c r="B416" s="1086"/>
      <c r="C416" s="1095"/>
      <c r="D416" s="1091"/>
      <c r="E416" s="1091"/>
      <c r="F416" s="1093"/>
      <c r="G416" s="98"/>
      <c r="H416" s="93"/>
      <c r="I416" s="1091"/>
      <c r="J416" s="1084"/>
      <c r="K416" s="1084"/>
      <c r="L416" s="932"/>
    </row>
    <row r="417" spans="1:12" s="106" customFormat="1" ht="15.75" hidden="1" customHeight="1" outlineLevel="1">
      <c r="A417" s="932"/>
      <c r="B417" s="1087"/>
      <c r="C417" s="1096"/>
      <c r="D417" s="1092"/>
      <c r="E417" s="1092"/>
      <c r="F417" s="1094"/>
      <c r="G417" s="103"/>
      <c r="H417" s="101"/>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93"/>
      <c r="I418" s="1091"/>
      <c r="J418" s="1083"/>
      <c r="K418" s="1083"/>
      <c r="L418" s="932"/>
    </row>
    <row r="419" spans="1:12" s="106" customFormat="1" ht="15.75" hidden="1" customHeight="1" outlineLevel="1">
      <c r="A419" s="932"/>
      <c r="B419" s="1086"/>
      <c r="C419" s="1095"/>
      <c r="D419" s="1091"/>
      <c r="E419" s="1091"/>
      <c r="F419" s="1093"/>
      <c r="G419" s="98"/>
      <c r="H419" s="93"/>
      <c r="I419" s="1091"/>
      <c r="J419" s="1084"/>
      <c r="K419" s="1084"/>
      <c r="L419" s="932"/>
    </row>
    <row r="420" spans="1:12" s="106" customFormat="1" ht="15.75" hidden="1" customHeight="1" outlineLevel="1">
      <c r="A420" s="932"/>
      <c r="B420" s="1087"/>
      <c r="C420" s="1096"/>
      <c r="D420" s="1092"/>
      <c r="E420" s="1092"/>
      <c r="F420" s="1094"/>
      <c r="G420" s="103"/>
      <c r="H420" s="101"/>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93"/>
      <c r="I421" s="1091"/>
      <c r="J421" s="1083"/>
      <c r="K421" s="1083"/>
      <c r="L421" s="932"/>
    </row>
    <row r="422" spans="1:12" s="106" customFormat="1" ht="15.75" hidden="1" customHeight="1" outlineLevel="1">
      <c r="A422" s="932"/>
      <c r="B422" s="1086"/>
      <c r="C422" s="1095"/>
      <c r="D422" s="1091"/>
      <c r="E422" s="1091"/>
      <c r="F422" s="1093"/>
      <c r="G422" s="98"/>
      <c r="H422" s="93"/>
      <c r="I422" s="1091"/>
      <c r="J422" s="1084"/>
      <c r="K422" s="1084"/>
      <c r="L422" s="932"/>
    </row>
    <row r="423" spans="1:12" s="106" customFormat="1" ht="15.75" hidden="1" customHeight="1" outlineLevel="1">
      <c r="A423" s="932"/>
      <c r="B423" s="1087"/>
      <c r="C423" s="1096"/>
      <c r="D423" s="1092"/>
      <c r="E423" s="1092"/>
      <c r="F423" s="1094"/>
      <c r="G423" s="103"/>
      <c r="H423" s="101"/>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93"/>
      <c r="I424" s="1091"/>
      <c r="J424" s="1083"/>
      <c r="K424" s="1083"/>
      <c r="L424" s="932"/>
    </row>
    <row r="425" spans="1:12" s="106" customFormat="1" ht="15.75" hidden="1" customHeight="1" outlineLevel="1">
      <c r="A425" s="932"/>
      <c r="B425" s="1086"/>
      <c r="C425" s="1095"/>
      <c r="D425" s="1091"/>
      <c r="E425" s="1091"/>
      <c r="F425" s="1093"/>
      <c r="G425" s="98"/>
      <c r="H425" s="93"/>
      <c r="I425" s="1091"/>
      <c r="J425" s="1084"/>
      <c r="K425" s="1084"/>
      <c r="L425" s="932"/>
    </row>
    <row r="426" spans="1:12" s="106" customFormat="1" ht="15.75" hidden="1" customHeight="1" outlineLevel="1">
      <c r="A426" s="932"/>
      <c r="B426" s="1087"/>
      <c r="C426" s="1096"/>
      <c r="D426" s="1092"/>
      <c r="E426" s="1092"/>
      <c r="F426" s="1094"/>
      <c r="G426" s="103"/>
      <c r="H426" s="101"/>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93"/>
      <c r="I427" s="1091"/>
      <c r="J427" s="1083"/>
      <c r="K427" s="1083"/>
      <c r="L427" s="932"/>
    </row>
    <row r="428" spans="1:12" s="106" customFormat="1" ht="15.75" hidden="1" customHeight="1" outlineLevel="1">
      <c r="A428" s="932"/>
      <c r="B428" s="1086"/>
      <c r="C428" s="1095"/>
      <c r="D428" s="1091"/>
      <c r="E428" s="1091"/>
      <c r="F428" s="1093"/>
      <c r="G428" s="98"/>
      <c r="H428" s="93"/>
      <c r="I428" s="1091"/>
      <c r="J428" s="1084"/>
      <c r="K428" s="1084"/>
      <c r="L428" s="932"/>
    </row>
    <row r="429" spans="1:12" s="106" customFormat="1" ht="15.75" hidden="1" customHeight="1" outlineLevel="1">
      <c r="A429" s="932"/>
      <c r="B429" s="1087"/>
      <c r="C429" s="1096"/>
      <c r="D429" s="1092"/>
      <c r="E429" s="1092"/>
      <c r="F429" s="1094"/>
      <c r="G429" s="103"/>
      <c r="H429" s="101"/>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93"/>
      <c r="I430" s="1091"/>
      <c r="J430" s="1083"/>
      <c r="K430" s="1083"/>
      <c r="L430" s="932"/>
    </row>
    <row r="431" spans="1:12" s="106" customFormat="1" ht="15.75" hidden="1" customHeight="1" outlineLevel="1">
      <c r="A431" s="932"/>
      <c r="B431" s="1086"/>
      <c r="C431" s="1095"/>
      <c r="D431" s="1091"/>
      <c r="E431" s="1091"/>
      <c r="F431" s="1093"/>
      <c r="G431" s="98"/>
      <c r="H431" s="93"/>
      <c r="I431" s="1091"/>
      <c r="J431" s="1084"/>
      <c r="K431" s="1084"/>
      <c r="L431" s="932"/>
    </row>
    <row r="432" spans="1:12" s="106" customFormat="1" ht="15.75" hidden="1" customHeight="1" outlineLevel="1">
      <c r="A432" s="932"/>
      <c r="B432" s="1087"/>
      <c r="C432" s="1096"/>
      <c r="D432" s="1092"/>
      <c r="E432" s="1092"/>
      <c r="F432" s="1094"/>
      <c r="G432" s="103"/>
      <c r="H432" s="101"/>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93"/>
      <c r="I433" s="1091"/>
      <c r="J433" s="1083"/>
      <c r="K433" s="1083"/>
      <c r="L433" s="932"/>
    </row>
    <row r="434" spans="1:12" s="106" customFormat="1" ht="15.75" hidden="1" customHeight="1" outlineLevel="1">
      <c r="A434" s="932"/>
      <c r="B434" s="1086"/>
      <c r="C434" s="1095"/>
      <c r="D434" s="1091"/>
      <c r="E434" s="1091"/>
      <c r="F434" s="1093"/>
      <c r="G434" s="98"/>
      <c r="H434" s="93"/>
      <c r="I434" s="1091"/>
      <c r="J434" s="1084"/>
      <c r="K434" s="1084"/>
      <c r="L434" s="932"/>
    </row>
    <row r="435" spans="1:12" s="106" customFormat="1" ht="15.75" hidden="1" customHeight="1" outlineLevel="1">
      <c r="A435" s="932"/>
      <c r="B435" s="1087"/>
      <c r="C435" s="1096"/>
      <c r="D435" s="1092"/>
      <c r="E435" s="1092"/>
      <c r="F435" s="1094"/>
      <c r="G435" s="103"/>
      <c r="H435" s="101"/>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93"/>
      <c r="I436" s="1091"/>
      <c r="J436" s="1083"/>
      <c r="K436" s="1083"/>
      <c r="L436" s="932"/>
    </row>
    <row r="437" spans="1:12" s="106" customFormat="1" ht="15.75" hidden="1" customHeight="1" outlineLevel="1">
      <c r="A437" s="932"/>
      <c r="B437" s="1086"/>
      <c r="C437" s="1095"/>
      <c r="D437" s="1091"/>
      <c r="E437" s="1091"/>
      <c r="F437" s="1093"/>
      <c r="G437" s="98"/>
      <c r="H437" s="93"/>
      <c r="I437" s="1091"/>
      <c r="J437" s="1084"/>
      <c r="K437" s="1084"/>
      <c r="L437" s="932"/>
    </row>
    <row r="438" spans="1:12" s="106" customFormat="1" ht="15.75" hidden="1" customHeight="1" outlineLevel="1">
      <c r="A438" s="932"/>
      <c r="B438" s="1087"/>
      <c r="C438" s="1096"/>
      <c r="D438" s="1092"/>
      <c r="E438" s="1092"/>
      <c r="F438" s="1094"/>
      <c r="G438" s="103"/>
      <c r="H438" s="101"/>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93"/>
      <c r="I439" s="1091"/>
      <c r="J439" s="1083"/>
      <c r="K439" s="1083"/>
      <c r="L439" s="932"/>
    </row>
    <row r="440" spans="1:12" s="106" customFormat="1" ht="15.75" hidden="1" customHeight="1" outlineLevel="1">
      <c r="A440" s="932"/>
      <c r="B440" s="1086"/>
      <c r="C440" s="1095"/>
      <c r="D440" s="1091"/>
      <c r="E440" s="1091"/>
      <c r="F440" s="1093"/>
      <c r="G440" s="98"/>
      <c r="H440" s="93"/>
      <c r="I440" s="1091"/>
      <c r="J440" s="1084"/>
      <c r="K440" s="1084"/>
      <c r="L440" s="932"/>
    </row>
    <row r="441" spans="1:12" s="106" customFormat="1" ht="15.75" hidden="1" customHeight="1" outlineLevel="1">
      <c r="A441" s="932"/>
      <c r="B441" s="1087"/>
      <c r="C441" s="1096"/>
      <c r="D441" s="1092"/>
      <c r="E441" s="1092"/>
      <c r="F441" s="1094"/>
      <c r="G441" s="103"/>
      <c r="H441" s="101"/>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93"/>
      <c r="I442" s="1091"/>
      <c r="J442" s="1083"/>
      <c r="K442" s="1083"/>
      <c r="L442" s="932"/>
    </row>
    <row r="443" spans="1:12" s="106" customFormat="1" ht="15.75" hidden="1" customHeight="1" outlineLevel="1">
      <c r="A443" s="932"/>
      <c r="B443" s="1086"/>
      <c r="C443" s="1095"/>
      <c r="D443" s="1091"/>
      <c r="E443" s="1091"/>
      <c r="F443" s="1093"/>
      <c r="G443" s="98"/>
      <c r="H443" s="93"/>
      <c r="I443" s="1091"/>
      <c r="J443" s="1084"/>
      <c r="K443" s="1084"/>
      <c r="L443" s="932"/>
    </row>
    <row r="444" spans="1:12" s="106" customFormat="1" ht="15.75" hidden="1" customHeight="1" outlineLevel="1">
      <c r="A444" s="932"/>
      <c r="B444" s="1087"/>
      <c r="C444" s="1096"/>
      <c r="D444" s="1092"/>
      <c r="E444" s="1092"/>
      <c r="F444" s="1094"/>
      <c r="G444" s="103"/>
      <c r="H444" s="101"/>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93"/>
      <c r="I445" s="1091"/>
      <c r="J445" s="1083"/>
      <c r="K445" s="1083"/>
      <c r="L445" s="932"/>
    </row>
    <row r="446" spans="1:12" s="106" customFormat="1" ht="15.75" hidden="1" customHeight="1" outlineLevel="1">
      <c r="A446" s="932"/>
      <c r="B446" s="1086"/>
      <c r="C446" s="1095"/>
      <c r="D446" s="1091"/>
      <c r="E446" s="1091"/>
      <c r="F446" s="1093"/>
      <c r="G446" s="98"/>
      <c r="H446" s="93"/>
      <c r="I446" s="1091"/>
      <c r="J446" s="1084"/>
      <c r="K446" s="1084"/>
      <c r="L446" s="932"/>
    </row>
    <row r="447" spans="1:12" s="106" customFormat="1" ht="15.75" hidden="1" customHeight="1" outlineLevel="1">
      <c r="A447" s="932"/>
      <c r="B447" s="1087"/>
      <c r="C447" s="1096"/>
      <c r="D447" s="1092"/>
      <c r="E447" s="1092"/>
      <c r="F447" s="1094"/>
      <c r="G447" s="103"/>
      <c r="H447" s="101"/>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93"/>
      <c r="I448" s="1091"/>
      <c r="J448" s="1083"/>
      <c r="K448" s="1083"/>
      <c r="L448" s="932"/>
    </row>
    <row r="449" spans="1:12" s="106" customFormat="1" ht="15.75" hidden="1" customHeight="1" outlineLevel="1">
      <c r="A449" s="932"/>
      <c r="B449" s="1086"/>
      <c r="C449" s="1095"/>
      <c r="D449" s="1091"/>
      <c r="E449" s="1091"/>
      <c r="F449" s="1093"/>
      <c r="G449" s="98"/>
      <c r="H449" s="93"/>
      <c r="I449" s="1091"/>
      <c r="J449" s="1084"/>
      <c r="K449" s="1084"/>
      <c r="L449" s="932"/>
    </row>
    <row r="450" spans="1:12" s="106" customFormat="1" ht="15.75" hidden="1" customHeight="1" outlineLevel="1">
      <c r="A450" s="932"/>
      <c r="B450" s="1087"/>
      <c r="C450" s="1096"/>
      <c r="D450" s="1092"/>
      <c r="E450" s="1092"/>
      <c r="F450" s="1094"/>
      <c r="G450" s="103"/>
      <c r="H450" s="101"/>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93"/>
      <c r="I451" s="1091"/>
      <c r="J451" s="1083"/>
      <c r="K451" s="1083"/>
      <c r="L451" s="932"/>
    </row>
    <row r="452" spans="1:12" s="106" customFormat="1" ht="15.75" hidden="1" customHeight="1" outlineLevel="1">
      <c r="A452" s="932"/>
      <c r="B452" s="1086"/>
      <c r="C452" s="1095"/>
      <c r="D452" s="1091"/>
      <c r="E452" s="1091"/>
      <c r="F452" s="1093"/>
      <c r="G452" s="98"/>
      <c r="H452" s="93"/>
      <c r="I452" s="1091"/>
      <c r="J452" s="1084"/>
      <c r="K452" s="1084"/>
      <c r="L452" s="932"/>
    </row>
    <row r="453" spans="1:12" s="106" customFormat="1" ht="15.75" hidden="1" customHeight="1" outlineLevel="1">
      <c r="A453" s="932"/>
      <c r="B453" s="1087"/>
      <c r="C453" s="1096"/>
      <c r="D453" s="1092"/>
      <c r="E453" s="1092"/>
      <c r="F453" s="1094"/>
      <c r="G453" s="103"/>
      <c r="H453" s="101"/>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93"/>
      <c r="I454" s="1091"/>
      <c r="J454" s="1083"/>
      <c r="K454" s="1083"/>
      <c r="L454" s="932"/>
    </row>
    <row r="455" spans="1:12" s="106" customFormat="1" ht="15.75" hidden="1" customHeight="1" outlineLevel="1">
      <c r="A455" s="932"/>
      <c r="B455" s="1086"/>
      <c r="C455" s="1095"/>
      <c r="D455" s="1091"/>
      <c r="E455" s="1091"/>
      <c r="F455" s="1093"/>
      <c r="G455" s="98"/>
      <c r="H455" s="93"/>
      <c r="I455" s="1091"/>
      <c r="J455" s="1084"/>
      <c r="K455" s="1084"/>
      <c r="L455" s="932"/>
    </row>
    <row r="456" spans="1:12" s="106" customFormat="1" ht="15.75" hidden="1" customHeight="1" outlineLevel="1">
      <c r="A456" s="932"/>
      <c r="B456" s="1087"/>
      <c r="C456" s="1096"/>
      <c r="D456" s="1092"/>
      <c r="E456" s="1092"/>
      <c r="F456" s="1094"/>
      <c r="G456" s="103"/>
      <c r="H456" s="101"/>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93"/>
      <c r="I457" s="1091"/>
      <c r="J457" s="1083"/>
      <c r="K457" s="1083"/>
      <c r="L457" s="932"/>
    </row>
    <row r="458" spans="1:12" s="106" customFormat="1" ht="15.75" hidden="1" customHeight="1" outlineLevel="1">
      <c r="A458" s="932"/>
      <c r="B458" s="1086"/>
      <c r="C458" s="1095"/>
      <c r="D458" s="1091"/>
      <c r="E458" s="1091"/>
      <c r="F458" s="1093"/>
      <c r="G458" s="98"/>
      <c r="H458" s="93"/>
      <c r="I458" s="1091"/>
      <c r="J458" s="1084"/>
      <c r="K458" s="1084"/>
      <c r="L458" s="932"/>
    </row>
    <row r="459" spans="1:12" s="106" customFormat="1" ht="15.75" hidden="1" customHeight="1" outlineLevel="1">
      <c r="A459" s="932"/>
      <c r="B459" s="1087"/>
      <c r="C459" s="1096"/>
      <c r="D459" s="1092"/>
      <c r="E459" s="1092"/>
      <c r="F459" s="1094"/>
      <c r="G459" s="103"/>
      <c r="H459" s="101"/>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93"/>
      <c r="I460" s="1091"/>
      <c r="J460" s="1083"/>
      <c r="K460" s="1083"/>
      <c r="L460" s="932"/>
    </row>
    <row r="461" spans="1:12" s="106" customFormat="1" ht="15.75" hidden="1" customHeight="1" outlineLevel="1">
      <c r="A461" s="932"/>
      <c r="B461" s="1086"/>
      <c r="C461" s="1095"/>
      <c r="D461" s="1091"/>
      <c r="E461" s="1091"/>
      <c r="F461" s="1093"/>
      <c r="G461" s="98"/>
      <c r="H461" s="93"/>
      <c r="I461" s="1091"/>
      <c r="J461" s="1084"/>
      <c r="K461" s="1084"/>
      <c r="L461" s="932"/>
    </row>
    <row r="462" spans="1:12" s="106" customFormat="1" ht="15.75" hidden="1" customHeight="1" outlineLevel="1">
      <c r="A462" s="932"/>
      <c r="B462" s="1087"/>
      <c r="C462" s="1096"/>
      <c r="D462" s="1092"/>
      <c r="E462" s="1092"/>
      <c r="F462" s="1094"/>
      <c r="G462" s="103"/>
      <c r="H462" s="101"/>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93"/>
      <c r="I463" s="1091"/>
      <c r="J463" s="1083"/>
      <c r="K463" s="1083"/>
      <c r="L463" s="932"/>
    </row>
    <row r="464" spans="1:12" s="106" customFormat="1" ht="15.75" hidden="1" customHeight="1" outlineLevel="1">
      <c r="A464" s="932"/>
      <c r="B464" s="1086"/>
      <c r="C464" s="1095"/>
      <c r="D464" s="1091"/>
      <c r="E464" s="1091"/>
      <c r="F464" s="1093"/>
      <c r="G464" s="98"/>
      <c r="H464" s="93"/>
      <c r="I464" s="1091"/>
      <c r="J464" s="1084"/>
      <c r="K464" s="1084"/>
      <c r="L464" s="932"/>
    </row>
    <row r="465" spans="1:12" s="106" customFormat="1" ht="15.75" hidden="1" customHeight="1" outlineLevel="1">
      <c r="A465" s="932"/>
      <c r="B465" s="1087"/>
      <c r="C465" s="1096"/>
      <c r="D465" s="1092"/>
      <c r="E465" s="1092"/>
      <c r="F465" s="1094"/>
      <c r="G465" s="103"/>
      <c r="H465" s="101"/>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93"/>
      <c r="I466" s="1091"/>
      <c r="J466" s="1083"/>
      <c r="K466" s="1083"/>
      <c r="L466" s="932"/>
    </row>
    <row r="467" spans="1:12" s="106" customFormat="1" ht="15.75" hidden="1" customHeight="1" outlineLevel="1">
      <c r="A467" s="932"/>
      <c r="B467" s="1086"/>
      <c r="C467" s="1095"/>
      <c r="D467" s="1091"/>
      <c r="E467" s="1091"/>
      <c r="F467" s="1093"/>
      <c r="G467" s="98"/>
      <c r="H467" s="93"/>
      <c r="I467" s="1091"/>
      <c r="J467" s="1084"/>
      <c r="K467" s="1084"/>
      <c r="L467" s="932"/>
    </row>
    <row r="468" spans="1:12" s="106" customFormat="1" ht="15.75" hidden="1" customHeight="1" outlineLevel="1">
      <c r="A468" s="932"/>
      <c r="B468" s="1087"/>
      <c r="C468" s="1096"/>
      <c r="D468" s="1092"/>
      <c r="E468" s="1092"/>
      <c r="F468" s="1094"/>
      <c r="G468" s="103"/>
      <c r="H468" s="101"/>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93"/>
      <c r="I469" s="1091"/>
      <c r="J469" s="1083"/>
      <c r="K469" s="1083"/>
      <c r="L469" s="932"/>
    </row>
    <row r="470" spans="1:12" s="106" customFormat="1" ht="15.75" hidden="1" customHeight="1" outlineLevel="1">
      <c r="A470" s="932"/>
      <c r="B470" s="1086"/>
      <c r="C470" s="1095"/>
      <c r="D470" s="1091"/>
      <c r="E470" s="1091"/>
      <c r="F470" s="1093"/>
      <c r="G470" s="98"/>
      <c r="H470" s="93"/>
      <c r="I470" s="1091"/>
      <c r="J470" s="1084"/>
      <c r="K470" s="1084"/>
      <c r="L470" s="932"/>
    </row>
    <row r="471" spans="1:12" s="106" customFormat="1" ht="15.75" hidden="1" customHeight="1" outlineLevel="1">
      <c r="A471" s="932"/>
      <c r="B471" s="1087"/>
      <c r="C471" s="1096"/>
      <c r="D471" s="1092"/>
      <c r="E471" s="1092"/>
      <c r="F471" s="1094"/>
      <c r="G471" s="103"/>
      <c r="H471" s="101"/>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93"/>
      <c r="I472" s="1091"/>
      <c r="J472" s="1083"/>
      <c r="K472" s="1083"/>
      <c r="L472" s="932"/>
    </row>
    <row r="473" spans="1:12" s="106" customFormat="1" ht="15.75" hidden="1" customHeight="1" outlineLevel="1">
      <c r="A473" s="932"/>
      <c r="B473" s="1086"/>
      <c r="C473" s="1095"/>
      <c r="D473" s="1091"/>
      <c r="E473" s="1091"/>
      <c r="F473" s="1093"/>
      <c r="G473" s="98"/>
      <c r="H473" s="93"/>
      <c r="I473" s="1091"/>
      <c r="J473" s="1084"/>
      <c r="K473" s="1084"/>
      <c r="L473" s="932"/>
    </row>
    <row r="474" spans="1:12" s="106" customFormat="1" ht="15.75" hidden="1" customHeight="1" outlineLevel="1">
      <c r="A474" s="932"/>
      <c r="B474" s="1087"/>
      <c r="C474" s="1096"/>
      <c r="D474" s="1092"/>
      <c r="E474" s="1092"/>
      <c r="F474" s="1094"/>
      <c r="G474" s="103"/>
      <c r="H474" s="101"/>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93"/>
      <c r="I475" s="1091"/>
      <c r="J475" s="1083"/>
      <c r="K475" s="1083"/>
      <c r="L475" s="932"/>
    </row>
    <row r="476" spans="1:12" s="106" customFormat="1" ht="15.75" hidden="1" customHeight="1" outlineLevel="1">
      <c r="A476" s="932"/>
      <c r="B476" s="1086"/>
      <c r="C476" s="1095"/>
      <c r="D476" s="1091"/>
      <c r="E476" s="1091"/>
      <c r="F476" s="1093"/>
      <c r="G476" s="98"/>
      <c r="H476" s="93"/>
      <c r="I476" s="1091"/>
      <c r="J476" s="1084"/>
      <c r="K476" s="1084"/>
      <c r="L476" s="932"/>
    </row>
    <row r="477" spans="1:12" s="106" customFormat="1" ht="15.75" hidden="1" customHeight="1" outlineLevel="1">
      <c r="A477" s="932"/>
      <c r="B477" s="1087"/>
      <c r="C477" s="1096"/>
      <c r="D477" s="1092"/>
      <c r="E477" s="1092"/>
      <c r="F477" s="1094"/>
      <c r="G477" s="103"/>
      <c r="H477" s="101"/>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93"/>
      <c r="I478" s="1091"/>
      <c r="J478" s="1083"/>
      <c r="K478" s="1083"/>
      <c r="L478" s="932"/>
    </row>
    <row r="479" spans="1:12" s="106" customFormat="1" ht="15.75" hidden="1" customHeight="1" outlineLevel="1">
      <c r="A479" s="932"/>
      <c r="B479" s="1086"/>
      <c r="C479" s="1095"/>
      <c r="D479" s="1091"/>
      <c r="E479" s="1091"/>
      <c r="F479" s="1093"/>
      <c r="G479" s="98"/>
      <c r="H479" s="93"/>
      <c r="I479" s="1091"/>
      <c r="J479" s="1084"/>
      <c r="K479" s="1084"/>
      <c r="L479" s="932"/>
    </row>
    <row r="480" spans="1:12" s="106" customFormat="1" ht="15.75" hidden="1" customHeight="1" outlineLevel="1">
      <c r="A480" s="932"/>
      <c r="B480" s="1087"/>
      <c r="C480" s="1096"/>
      <c r="D480" s="1092"/>
      <c r="E480" s="1092"/>
      <c r="F480" s="1094"/>
      <c r="G480" s="103"/>
      <c r="H480" s="101"/>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93"/>
      <c r="I481" s="1091"/>
      <c r="J481" s="1083"/>
      <c r="K481" s="1083"/>
      <c r="L481" s="932"/>
    </row>
    <row r="482" spans="1:12" s="106" customFormat="1" ht="15.75" hidden="1" customHeight="1" outlineLevel="1">
      <c r="A482" s="932"/>
      <c r="B482" s="1086"/>
      <c r="C482" s="1095"/>
      <c r="D482" s="1091"/>
      <c r="E482" s="1091"/>
      <c r="F482" s="1093"/>
      <c r="G482" s="98"/>
      <c r="H482" s="93"/>
      <c r="I482" s="1091"/>
      <c r="J482" s="1084"/>
      <c r="K482" s="1084"/>
      <c r="L482" s="932"/>
    </row>
    <row r="483" spans="1:12" s="106" customFormat="1" ht="15.75" hidden="1" customHeight="1" outlineLevel="1">
      <c r="A483" s="932"/>
      <c r="B483" s="1087"/>
      <c r="C483" s="1096"/>
      <c r="D483" s="1092"/>
      <c r="E483" s="1092"/>
      <c r="F483" s="1094"/>
      <c r="G483" s="103"/>
      <c r="H483" s="101"/>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93"/>
      <c r="I484" s="1091"/>
      <c r="J484" s="1083"/>
      <c r="K484" s="1083"/>
      <c r="L484" s="932"/>
    </row>
    <row r="485" spans="1:12" s="106" customFormat="1" ht="15.75" hidden="1" customHeight="1" outlineLevel="1">
      <c r="A485" s="932"/>
      <c r="B485" s="1086"/>
      <c r="C485" s="1095"/>
      <c r="D485" s="1091"/>
      <c r="E485" s="1091"/>
      <c r="F485" s="1093"/>
      <c r="G485" s="98"/>
      <c r="H485" s="93"/>
      <c r="I485" s="1091"/>
      <c r="J485" s="1084"/>
      <c r="K485" s="1084"/>
      <c r="L485" s="932"/>
    </row>
    <row r="486" spans="1:12" s="106" customFormat="1" ht="15.75" hidden="1" customHeight="1" outlineLevel="1">
      <c r="A486" s="932"/>
      <c r="B486" s="1087"/>
      <c r="C486" s="1096"/>
      <c r="D486" s="1092"/>
      <c r="E486" s="1092"/>
      <c r="F486" s="1094"/>
      <c r="G486" s="103"/>
      <c r="H486" s="101"/>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93"/>
      <c r="I487" s="1091"/>
      <c r="J487" s="1083"/>
      <c r="K487" s="1083"/>
      <c r="L487" s="932"/>
    </row>
    <row r="488" spans="1:12" s="106" customFormat="1" ht="15.75" hidden="1" customHeight="1" outlineLevel="1">
      <c r="A488" s="932"/>
      <c r="B488" s="1086"/>
      <c r="C488" s="1095"/>
      <c r="D488" s="1091"/>
      <c r="E488" s="1091"/>
      <c r="F488" s="1093"/>
      <c r="G488" s="98"/>
      <c r="H488" s="93"/>
      <c r="I488" s="1091"/>
      <c r="J488" s="1084"/>
      <c r="K488" s="1084"/>
      <c r="L488" s="932"/>
    </row>
    <row r="489" spans="1:12" s="106" customFormat="1" ht="15.75" hidden="1" customHeight="1" outlineLevel="1">
      <c r="A489" s="932"/>
      <c r="B489" s="1087"/>
      <c r="C489" s="1096"/>
      <c r="D489" s="1092"/>
      <c r="E489" s="1092"/>
      <c r="F489" s="1094"/>
      <c r="G489" s="103"/>
      <c r="H489" s="101"/>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93"/>
      <c r="I490" s="1091"/>
      <c r="J490" s="1083"/>
      <c r="K490" s="1083"/>
      <c r="L490" s="932"/>
    </row>
    <row r="491" spans="1:12" s="106" customFormat="1" ht="15.75" hidden="1" customHeight="1" outlineLevel="1">
      <c r="A491" s="932"/>
      <c r="B491" s="1086"/>
      <c r="C491" s="1095"/>
      <c r="D491" s="1091"/>
      <c r="E491" s="1091"/>
      <c r="F491" s="1093"/>
      <c r="G491" s="98"/>
      <c r="H491" s="93"/>
      <c r="I491" s="1091"/>
      <c r="J491" s="1084"/>
      <c r="K491" s="1084"/>
      <c r="L491" s="932"/>
    </row>
    <row r="492" spans="1:12" s="106" customFormat="1" ht="15.75" hidden="1" customHeight="1" outlineLevel="1">
      <c r="A492" s="932"/>
      <c r="B492" s="1087"/>
      <c r="C492" s="1096"/>
      <c r="D492" s="1092"/>
      <c r="E492" s="1092"/>
      <c r="F492" s="1094"/>
      <c r="G492" s="103"/>
      <c r="H492" s="101"/>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93"/>
      <c r="I493" s="1091"/>
      <c r="J493" s="1083"/>
      <c r="K493" s="1083"/>
      <c r="L493" s="932"/>
    </row>
    <row r="494" spans="1:12" s="106" customFormat="1" ht="15.75" hidden="1" customHeight="1" outlineLevel="1">
      <c r="A494" s="932"/>
      <c r="B494" s="1086"/>
      <c r="C494" s="1095"/>
      <c r="D494" s="1091"/>
      <c r="E494" s="1091"/>
      <c r="F494" s="1093"/>
      <c r="G494" s="98"/>
      <c r="H494" s="93"/>
      <c r="I494" s="1091"/>
      <c r="J494" s="1084"/>
      <c r="K494" s="1084"/>
      <c r="L494" s="932"/>
    </row>
    <row r="495" spans="1:12" s="106" customFormat="1" ht="15.75" hidden="1" customHeight="1" outlineLevel="1">
      <c r="A495" s="932"/>
      <c r="B495" s="1087"/>
      <c r="C495" s="1096"/>
      <c r="D495" s="1092"/>
      <c r="E495" s="1092"/>
      <c r="F495" s="1094"/>
      <c r="G495" s="103"/>
      <c r="H495" s="101"/>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93"/>
      <c r="I496" s="1091"/>
      <c r="J496" s="1083"/>
      <c r="K496" s="1083"/>
      <c r="L496" s="932"/>
    </row>
    <row r="497" spans="1:12" s="106" customFormat="1" ht="15.75" hidden="1" customHeight="1" outlineLevel="1">
      <c r="A497" s="932"/>
      <c r="B497" s="1086"/>
      <c r="C497" s="1095"/>
      <c r="D497" s="1091"/>
      <c r="E497" s="1091"/>
      <c r="F497" s="1093"/>
      <c r="G497" s="98"/>
      <c r="H497" s="93"/>
      <c r="I497" s="1091"/>
      <c r="J497" s="1084"/>
      <c r="K497" s="1084"/>
      <c r="L497" s="932"/>
    </row>
    <row r="498" spans="1:12" s="106" customFormat="1" ht="15.75" hidden="1" customHeight="1" outlineLevel="1">
      <c r="A498" s="932"/>
      <c r="B498" s="1087"/>
      <c r="C498" s="1096"/>
      <c r="D498" s="1092"/>
      <c r="E498" s="1092"/>
      <c r="F498" s="1094"/>
      <c r="G498" s="103"/>
      <c r="H498" s="101"/>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93"/>
      <c r="I499" s="1091"/>
      <c r="J499" s="1083"/>
      <c r="K499" s="1083"/>
      <c r="L499" s="932"/>
    </row>
    <row r="500" spans="1:12" s="106" customFormat="1" ht="15.75" hidden="1" customHeight="1" outlineLevel="1">
      <c r="A500" s="932"/>
      <c r="B500" s="1086"/>
      <c r="C500" s="1095"/>
      <c r="D500" s="1091"/>
      <c r="E500" s="1091"/>
      <c r="F500" s="1093"/>
      <c r="G500" s="98"/>
      <c r="H500" s="93"/>
      <c r="I500" s="1091"/>
      <c r="J500" s="1084"/>
      <c r="K500" s="1084"/>
      <c r="L500" s="932"/>
    </row>
    <row r="501" spans="1:12" s="106" customFormat="1" ht="15.75" hidden="1" customHeight="1" outlineLevel="1">
      <c r="A501" s="932"/>
      <c r="B501" s="1087"/>
      <c r="C501" s="1096"/>
      <c r="D501" s="1092"/>
      <c r="E501" s="1092"/>
      <c r="F501" s="1094"/>
      <c r="G501" s="103"/>
      <c r="H501" s="101"/>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93"/>
      <c r="I502" s="1091"/>
      <c r="J502" s="1083"/>
      <c r="K502" s="1083"/>
      <c r="L502" s="932"/>
    </row>
    <row r="503" spans="1:12" s="106" customFormat="1" ht="15.75" hidden="1" customHeight="1" outlineLevel="1">
      <c r="A503" s="932"/>
      <c r="B503" s="1086"/>
      <c r="C503" s="1095"/>
      <c r="D503" s="1091"/>
      <c r="E503" s="1091"/>
      <c r="F503" s="1093"/>
      <c r="G503" s="98"/>
      <c r="H503" s="93"/>
      <c r="I503" s="1091"/>
      <c r="J503" s="1084"/>
      <c r="K503" s="1084"/>
      <c r="L503" s="932"/>
    </row>
    <row r="504" spans="1:12" s="106" customFormat="1" ht="15.75" hidden="1" customHeight="1" outlineLevel="1">
      <c r="A504" s="932"/>
      <c r="B504" s="1087"/>
      <c r="C504" s="1096"/>
      <c r="D504" s="1092"/>
      <c r="E504" s="1092"/>
      <c r="F504" s="1094"/>
      <c r="G504" s="103"/>
      <c r="H504" s="101"/>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93"/>
      <c r="I505" s="1091"/>
      <c r="J505" s="1083"/>
      <c r="K505" s="1083"/>
      <c r="L505" s="932"/>
    </row>
    <row r="506" spans="1:12" s="106" customFormat="1" ht="15.75" hidden="1" customHeight="1" outlineLevel="1">
      <c r="A506" s="932"/>
      <c r="B506" s="1086"/>
      <c r="C506" s="1095"/>
      <c r="D506" s="1091"/>
      <c r="E506" s="1091"/>
      <c r="F506" s="1093"/>
      <c r="G506" s="98"/>
      <c r="H506" s="93"/>
      <c r="I506" s="1091"/>
      <c r="J506" s="1084"/>
      <c r="K506" s="1084"/>
      <c r="L506" s="932"/>
    </row>
    <row r="507" spans="1:12" s="106" customFormat="1" ht="15.75" hidden="1" customHeight="1" outlineLevel="1">
      <c r="A507" s="932"/>
      <c r="B507" s="1087"/>
      <c r="C507" s="1096"/>
      <c r="D507" s="1092"/>
      <c r="E507" s="1092"/>
      <c r="F507" s="1094"/>
      <c r="G507" s="103"/>
      <c r="H507" s="101"/>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93"/>
      <c r="I508" s="1091"/>
      <c r="J508" s="1083"/>
      <c r="K508" s="1083"/>
      <c r="L508" s="932"/>
    </row>
    <row r="509" spans="1:12" s="106" customFormat="1" ht="15.75" hidden="1" customHeight="1" outlineLevel="1">
      <c r="A509" s="932"/>
      <c r="B509" s="1086"/>
      <c r="C509" s="1095"/>
      <c r="D509" s="1091"/>
      <c r="E509" s="1091"/>
      <c r="F509" s="1093"/>
      <c r="G509" s="98"/>
      <c r="H509" s="93"/>
      <c r="I509" s="1091"/>
      <c r="J509" s="1084"/>
      <c r="K509" s="1084"/>
      <c r="L509" s="932"/>
    </row>
    <row r="510" spans="1:12" s="106" customFormat="1" ht="15.75" hidden="1" customHeight="1" outlineLevel="1">
      <c r="A510" s="932"/>
      <c r="B510" s="1087"/>
      <c r="C510" s="1096"/>
      <c r="D510" s="1092"/>
      <c r="E510" s="1092"/>
      <c r="F510" s="1094"/>
      <c r="G510" s="103"/>
      <c r="H510" s="101"/>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93"/>
      <c r="I511" s="1091"/>
      <c r="J511" s="1083"/>
      <c r="K511" s="1083"/>
      <c r="L511" s="932"/>
    </row>
    <row r="512" spans="1:12" s="106" customFormat="1" ht="15.75" hidden="1" customHeight="1" outlineLevel="1">
      <c r="A512" s="932"/>
      <c r="B512" s="1086"/>
      <c r="C512" s="1095"/>
      <c r="D512" s="1091"/>
      <c r="E512" s="1091"/>
      <c r="F512" s="1093"/>
      <c r="G512" s="98"/>
      <c r="H512" s="93"/>
      <c r="I512" s="1091"/>
      <c r="J512" s="1084"/>
      <c r="K512" s="1084"/>
      <c r="L512" s="932"/>
    </row>
    <row r="513" spans="1:12" s="106" customFormat="1" ht="15.75" hidden="1" customHeight="1" outlineLevel="1">
      <c r="A513" s="932"/>
      <c r="B513" s="1087"/>
      <c r="C513" s="1096"/>
      <c r="D513" s="1092"/>
      <c r="E513" s="1092"/>
      <c r="F513" s="1094"/>
      <c r="G513" s="103"/>
      <c r="H513" s="101"/>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93"/>
      <c r="I514" s="1091"/>
      <c r="J514" s="1083"/>
      <c r="K514" s="1083"/>
      <c r="L514" s="932"/>
    </row>
    <row r="515" spans="1:12" s="106" customFormat="1" ht="15.75" hidden="1" customHeight="1" outlineLevel="1">
      <c r="A515" s="932"/>
      <c r="B515" s="1086"/>
      <c r="C515" s="1095"/>
      <c r="D515" s="1091"/>
      <c r="E515" s="1091"/>
      <c r="F515" s="1093"/>
      <c r="G515" s="98"/>
      <c r="H515" s="93"/>
      <c r="I515" s="1091"/>
      <c r="J515" s="1084"/>
      <c r="K515" s="1084"/>
      <c r="L515" s="932"/>
    </row>
    <row r="516" spans="1:12" s="106" customFormat="1" ht="15.75" hidden="1" customHeight="1" outlineLevel="1">
      <c r="A516" s="932"/>
      <c r="B516" s="1087"/>
      <c r="C516" s="1096"/>
      <c r="D516" s="1092"/>
      <c r="E516" s="1092"/>
      <c r="F516" s="1094"/>
      <c r="G516" s="103"/>
      <c r="H516" s="101"/>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93"/>
      <c r="I517" s="1091"/>
      <c r="J517" s="1083"/>
      <c r="K517" s="1083"/>
      <c r="L517" s="932"/>
    </row>
    <row r="518" spans="1:12" s="106" customFormat="1" ht="15.75" hidden="1" customHeight="1" outlineLevel="1">
      <c r="A518" s="932"/>
      <c r="B518" s="1086"/>
      <c r="C518" s="1095"/>
      <c r="D518" s="1091"/>
      <c r="E518" s="1091"/>
      <c r="F518" s="1093"/>
      <c r="G518" s="98"/>
      <c r="H518" s="93"/>
      <c r="I518" s="1091"/>
      <c r="J518" s="1084"/>
      <c r="K518" s="1084"/>
      <c r="L518" s="932"/>
    </row>
    <row r="519" spans="1:12" s="106" customFormat="1" ht="15.75" hidden="1" customHeight="1" outlineLevel="1">
      <c r="A519" s="932"/>
      <c r="B519" s="1087"/>
      <c r="C519" s="1096"/>
      <c r="D519" s="1092"/>
      <c r="E519" s="1092"/>
      <c r="F519" s="1094"/>
      <c r="G519" s="103"/>
      <c r="H519" s="101"/>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93"/>
      <c r="I520" s="1091"/>
      <c r="J520" s="1083"/>
      <c r="K520" s="1083"/>
      <c r="L520" s="932"/>
    </row>
    <row r="521" spans="1:12" s="106" customFormat="1" ht="15.75" hidden="1" customHeight="1" outlineLevel="1">
      <c r="A521" s="932"/>
      <c r="B521" s="1086"/>
      <c r="C521" s="1095"/>
      <c r="D521" s="1091"/>
      <c r="E521" s="1091"/>
      <c r="F521" s="1093"/>
      <c r="G521" s="98"/>
      <c r="H521" s="93"/>
      <c r="I521" s="1091"/>
      <c r="J521" s="1084"/>
      <c r="K521" s="1084"/>
      <c r="L521" s="932"/>
    </row>
    <row r="522" spans="1:12" s="106" customFormat="1" ht="15.75" hidden="1" customHeight="1" outlineLevel="1">
      <c r="A522" s="932"/>
      <c r="B522" s="1087"/>
      <c r="C522" s="1096"/>
      <c r="D522" s="1092"/>
      <c r="E522" s="1092"/>
      <c r="F522" s="1094"/>
      <c r="G522" s="103"/>
      <c r="H522" s="101"/>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93"/>
      <c r="I523" s="1091"/>
      <c r="J523" s="1083"/>
      <c r="K523" s="1083"/>
      <c r="L523" s="932"/>
    </row>
    <row r="524" spans="1:12" s="106" customFormat="1" ht="15.75" hidden="1" customHeight="1" outlineLevel="1">
      <c r="A524" s="932"/>
      <c r="B524" s="1086"/>
      <c r="C524" s="1095"/>
      <c r="D524" s="1091"/>
      <c r="E524" s="1091"/>
      <c r="F524" s="1093"/>
      <c r="G524" s="98"/>
      <c r="H524" s="93"/>
      <c r="I524" s="1091"/>
      <c r="J524" s="1084"/>
      <c r="K524" s="1084"/>
      <c r="L524" s="932"/>
    </row>
    <row r="525" spans="1:12" s="106" customFormat="1" ht="15.75" hidden="1" customHeight="1" outlineLevel="1">
      <c r="A525" s="932"/>
      <c r="B525" s="1087"/>
      <c r="C525" s="1096"/>
      <c r="D525" s="1092"/>
      <c r="E525" s="1092"/>
      <c r="F525" s="1094"/>
      <c r="G525" s="103"/>
      <c r="H525" s="101"/>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93"/>
      <c r="I526" s="1091"/>
      <c r="J526" s="1083"/>
      <c r="K526" s="1083"/>
      <c r="L526" s="932"/>
    </row>
    <row r="527" spans="1:12" s="106" customFormat="1" ht="15.75" hidden="1" customHeight="1" outlineLevel="1">
      <c r="A527" s="932"/>
      <c r="B527" s="1086"/>
      <c r="C527" s="1095"/>
      <c r="D527" s="1091"/>
      <c r="E527" s="1091"/>
      <c r="F527" s="1093"/>
      <c r="G527" s="98"/>
      <c r="H527" s="93"/>
      <c r="I527" s="1091"/>
      <c r="J527" s="1084"/>
      <c r="K527" s="1084"/>
      <c r="L527" s="932"/>
    </row>
    <row r="528" spans="1:12" s="106" customFormat="1" ht="15.75" hidden="1" customHeight="1" outlineLevel="1">
      <c r="A528" s="932"/>
      <c r="B528" s="1087"/>
      <c r="C528" s="1096"/>
      <c r="D528" s="1092"/>
      <c r="E528" s="1092"/>
      <c r="F528" s="1094"/>
      <c r="G528" s="103"/>
      <c r="H528" s="101"/>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93"/>
      <c r="I529" s="1091"/>
      <c r="J529" s="1083"/>
      <c r="K529" s="1083"/>
      <c r="L529" s="932"/>
    </row>
    <row r="530" spans="1:12" s="106" customFormat="1" ht="15.75" hidden="1" customHeight="1" outlineLevel="1">
      <c r="A530" s="932"/>
      <c r="B530" s="1086"/>
      <c r="C530" s="1095"/>
      <c r="D530" s="1091"/>
      <c r="E530" s="1091"/>
      <c r="F530" s="1093"/>
      <c r="G530" s="98"/>
      <c r="H530" s="93"/>
      <c r="I530" s="1091"/>
      <c r="J530" s="1084"/>
      <c r="K530" s="1084"/>
      <c r="L530" s="932"/>
    </row>
    <row r="531" spans="1:12" s="106" customFormat="1" ht="15.75" hidden="1" customHeight="1" outlineLevel="1">
      <c r="A531" s="932"/>
      <c r="B531" s="1087"/>
      <c r="C531" s="1096"/>
      <c r="D531" s="1092"/>
      <c r="E531" s="1092"/>
      <c r="F531" s="1094"/>
      <c r="G531" s="103"/>
      <c r="H531" s="101"/>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93"/>
      <c r="I532" s="1091"/>
      <c r="J532" s="1083"/>
      <c r="K532" s="1083"/>
      <c r="L532" s="932"/>
    </row>
    <row r="533" spans="1:12" s="106" customFormat="1" ht="15.75" hidden="1" customHeight="1" outlineLevel="1">
      <c r="A533" s="932"/>
      <c r="B533" s="1086"/>
      <c r="C533" s="1095"/>
      <c r="D533" s="1091"/>
      <c r="E533" s="1091"/>
      <c r="F533" s="1093"/>
      <c r="G533" s="98"/>
      <c r="H533" s="93"/>
      <c r="I533" s="1091"/>
      <c r="J533" s="1084"/>
      <c r="K533" s="1084"/>
      <c r="L533" s="932"/>
    </row>
    <row r="534" spans="1:12" s="106" customFormat="1" ht="15.75" hidden="1" customHeight="1" outlineLevel="1">
      <c r="A534" s="932"/>
      <c r="B534" s="1087"/>
      <c r="C534" s="1096"/>
      <c r="D534" s="1092"/>
      <c r="E534" s="1092"/>
      <c r="F534" s="1094"/>
      <c r="G534" s="103"/>
      <c r="H534" s="101"/>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93"/>
      <c r="I535" s="1091"/>
      <c r="J535" s="1083"/>
      <c r="K535" s="1083"/>
      <c r="L535" s="932"/>
    </row>
    <row r="536" spans="1:12" s="106" customFormat="1" ht="15.75" hidden="1" customHeight="1" outlineLevel="1">
      <c r="A536" s="932"/>
      <c r="B536" s="1086"/>
      <c r="C536" s="1095"/>
      <c r="D536" s="1091"/>
      <c r="E536" s="1091"/>
      <c r="F536" s="1093"/>
      <c r="G536" s="98"/>
      <c r="H536" s="93"/>
      <c r="I536" s="1091"/>
      <c r="J536" s="1084"/>
      <c r="K536" s="1084"/>
      <c r="L536" s="932"/>
    </row>
    <row r="537" spans="1:12" s="106" customFormat="1" ht="15.75" hidden="1" customHeight="1" outlineLevel="1">
      <c r="A537" s="932"/>
      <c r="B537" s="1087"/>
      <c r="C537" s="1096"/>
      <c r="D537" s="1092"/>
      <c r="E537" s="1092"/>
      <c r="F537" s="1094"/>
      <c r="G537" s="103"/>
      <c r="H537" s="101"/>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93"/>
      <c r="I538" s="1091"/>
      <c r="J538" s="1083"/>
      <c r="K538" s="1083"/>
      <c r="L538" s="932"/>
    </row>
    <row r="539" spans="1:12" s="106" customFormat="1" ht="15.75" hidden="1" customHeight="1" outlineLevel="1">
      <c r="A539" s="932"/>
      <c r="B539" s="1086"/>
      <c r="C539" s="1095"/>
      <c r="D539" s="1091"/>
      <c r="E539" s="1091"/>
      <c r="F539" s="1093"/>
      <c r="G539" s="98"/>
      <c r="H539" s="93"/>
      <c r="I539" s="1091"/>
      <c r="J539" s="1084"/>
      <c r="K539" s="1084"/>
      <c r="L539" s="932"/>
    </row>
    <row r="540" spans="1:12" s="106" customFormat="1" ht="15.75" hidden="1" customHeight="1" outlineLevel="1">
      <c r="A540" s="932"/>
      <c r="B540" s="1087"/>
      <c r="C540" s="1096"/>
      <c r="D540" s="1092"/>
      <c r="E540" s="1092"/>
      <c r="F540" s="1094"/>
      <c r="G540" s="103"/>
      <c r="H540" s="101"/>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93"/>
      <c r="I541" s="1091"/>
      <c r="J541" s="1083"/>
      <c r="K541" s="1083"/>
      <c r="L541" s="932"/>
    </row>
    <row r="542" spans="1:12" s="106" customFormat="1" ht="15.75" hidden="1" customHeight="1" outlineLevel="1">
      <c r="A542" s="932"/>
      <c r="B542" s="1086"/>
      <c r="C542" s="1095"/>
      <c r="D542" s="1091"/>
      <c r="E542" s="1091"/>
      <c r="F542" s="1093"/>
      <c r="G542" s="98"/>
      <c r="H542" s="93"/>
      <c r="I542" s="1091"/>
      <c r="J542" s="1084"/>
      <c r="K542" s="1084"/>
      <c r="L542" s="932"/>
    </row>
    <row r="543" spans="1:12" s="106" customFormat="1" ht="15.75" hidden="1" customHeight="1" outlineLevel="1">
      <c r="A543" s="932"/>
      <c r="B543" s="1087"/>
      <c r="C543" s="1096"/>
      <c r="D543" s="1092"/>
      <c r="E543" s="1092"/>
      <c r="F543" s="1094"/>
      <c r="G543" s="103"/>
      <c r="H543" s="101"/>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93"/>
      <c r="I544" s="1091"/>
      <c r="J544" s="1083"/>
      <c r="K544" s="1083"/>
      <c r="L544" s="932"/>
    </row>
    <row r="545" spans="1:12" s="106" customFormat="1" ht="15.75" hidden="1" customHeight="1" outlineLevel="1">
      <c r="A545" s="932"/>
      <c r="B545" s="1086"/>
      <c r="C545" s="1095"/>
      <c r="D545" s="1091"/>
      <c r="E545" s="1091"/>
      <c r="F545" s="1093"/>
      <c r="G545" s="98"/>
      <c r="H545" s="93"/>
      <c r="I545" s="1091"/>
      <c r="J545" s="1084"/>
      <c r="K545" s="1084"/>
      <c r="L545" s="932"/>
    </row>
    <row r="546" spans="1:12" s="106" customFormat="1" ht="15.75" hidden="1" customHeight="1" outlineLevel="1">
      <c r="A546" s="932"/>
      <c r="B546" s="1087"/>
      <c r="C546" s="1096"/>
      <c r="D546" s="1092"/>
      <c r="E546" s="1092"/>
      <c r="F546" s="1094"/>
      <c r="G546" s="103"/>
      <c r="H546" s="101"/>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93"/>
      <c r="I547" s="1091"/>
      <c r="J547" s="1083"/>
      <c r="K547" s="1083"/>
      <c r="L547" s="932"/>
    </row>
    <row r="548" spans="1:12" s="106" customFormat="1" ht="15.75" hidden="1" customHeight="1" outlineLevel="1">
      <c r="A548" s="932"/>
      <c r="B548" s="1086"/>
      <c r="C548" s="1095"/>
      <c r="D548" s="1091"/>
      <c r="E548" s="1091"/>
      <c r="F548" s="1093"/>
      <c r="G548" s="98"/>
      <c r="H548" s="93"/>
      <c r="I548" s="1091"/>
      <c r="J548" s="1084"/>
      <c r="K548" s="1084"/>
      <c r="L548" s="932"/>
    </row>
    <row r="549" spans="1:12" s="106" customFormat="1" ht="15.75" hidden="1" customHeight="1" outlineLevel="1">
      <c r="A549" s="932"/>
      <c r="B549" s="1087"/>
      <c r="C549" s="1096"/>
      <c r="D549" s="1092"/>
      <c r="E549" s="1092"/>
      <c r="F549" s="1094"/>
      <c r="G549" s="103"/>
      <c r="H549" s="101"/>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93"/>
      <c r="I550" s="1091"/>
      <c r="J550" s="1083"/>
      <c r="K550" s="1083"/>
      <c r="L550" s="932"/>
    </row>
    <row r="551" spans="1:12" s="106" customFormat="1" ht="15.75" hidden="1" customHeight="1" outlineLevel="1">
      <c r="A551" s="932"/>
      <c r="B551" s="1086"/>
      <c r="C551" s="1095"/>
      <c r="D551" s="1091"/>
      <c r="E551" s="1091"/>
      <c r="F551" s="1093"/>
      <c r="G551" s="98"/>
      <c r="H551" s="93"/>
      <c r="I551" s="1091"/>
      <c r="J551" s="1084"/>
      <c r="K551" s="1084"/>
      <c r="L551" s="932"/>
    </row>
    <row r="552" spans="1:12" s="106" customFormat="1" ht="15.75" hidden="1" customHeight="1" outlineLevel="1">
      <c r="A552" s="932"/>
      <c r="B552" s="1087"/>
      <c r="C552" s="1096"/>
      <c r="D552" s="1092"/>
      <c r="E552" s="1092"/>
      <c r="F552" s="1094"/>
      <c r="G552" s="103"/>
      <c r="H552" s="101"/>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93"/>
      <c r="I553" s="1091"/>
      <c r="J553" s="1083"/>
      <c r="K553" s="1083"/>
      <c r="L553" s="932"/>
    </row>
    <row r="554" spans="1:12" s="106" customFormat="1" ht="15.75" hidden="1" customHeight="1" outlineLevel="1">
      <c r="A554" s="932"/>
      <c r="B554" s="1086"/>
      <c r="C554" s="1095"/>
      <c r="D554" s="1091"/>
      <c r="E554" s="1091"/>
      <c r="F554" s="1093"/>
      <c r="G554" s="98"/>
      <c r="H554" s="93"/>
      <c r="I554" s="1091"/>
      <c r="J554" s="1084"/>
      <c r="K554" s="1084"/>
      <c r="L554" s="932"/>
    </row>
    <row r="555" spans="1:12" s="106" customFormat="1" ht="15.75" hidden="1" customHeight="1" outlineLevel="1">
      <c r="A555" s="932"/>
      <c r="B555" s="1087"/>
      <c r="C555" s="1096"/>
      <c r="D555" s="1092"/>
      <c r="E555" s="1092"/>
      <c r="F555" s="1094"/>
      <c r="G555" s="103"/>
      <c r="H555" s="101"/>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93"/>
      <c r="I556" s="1091"/>
      <c r="J556" s="1083"/>
      <c r="K556" s="1083"/>
      <c r="L556" s="932"/>
    </row>
    <row r="557" spans="1:12" s="106" customFormat="1" ht="15.75" hidden="1" customHeight="1" outlineLevel="1">
      <c r="A557" s="932"/>
      <c r="B557" s="1086"/>
      <c r="C557" s="1095"/>
      <c r="D557" s="1091"/>
      <c r="E557" s="1091"/>
      <c r="F557" s="1093"/>
      <c r="G557" s="98"/>
      <c r="H557" s="93"/>
      <c r="I557" s="1091"/>
      <c r="J557" s="1084"/>
      <c r="K557" s="1084"/>
      <c r="L557" s="932"/>
    </row>
    <row r="558" spans="1:12" s="106" customFormat="1" ht="15.75" hidden="1" customHeight="1" outlineLevel="1">
      <c r="A558" s="932"/>
      <c r="B558" s="1087"/>
      <c r="C558" s="1096"/>
      <c r="D558" s="1092"/>
      <c r="E558" s="1092"/>
      <c r="F558" s="1094"/>
      <c r="G558" s="103"/>
      <c r="H558" s="101"/>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93"/>
      <c r="I559" s="1091"/>
      <c r="J559" s="1083"/>
      <c r="K559" s="1083"/>
      <c r="L559" s="932"/>
    </row>
    <row r="560" spans="1:12" s="106" customFormat="1" ht="15.75" hidden="1" customHeight="1" outlineLevel="1">
      <c r="A560" s="932"/>
      <c r="B560" s="1086"/>
      <c r="C560" s="1095"/>
      <c r="D560" s="1091"/>
      <c r="E560" s="1091"/>
      <c r="F560" s="1093"/>
      <c r="G560" s="98"/>
      <c r="H560" s="93"/>
      <c r="I560" s="1091"/>
      <c r="J560" s="1084"/>
      <c r="K560" s="1084"/>
      <c r="L560" s="932"/>
    </row>
    <row r="561" spans="1:12" s="106" customFormat="1" ht="15.75" hidden="1" customHeight="1" outlineLevel="1">
      <c r="A561" s="932"/>
      <c r="B561" s="1087"/>
      <c r="C561" s="1096"/>
      <c r="D561" s="1092"/>
      <c r="E561" s="1092"/>
      <c r="F561" s="1094"/>
      <c r="G561" s="103"/>
      <c r="H561" s="101"/>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93"/>
      <c r="I562" s="1091"/>
      <c r="J562" s="1083"/>
      <c r="K562" s="1083"/>
      <c r="L562" s="932"/>
    </row>
    <row r="563" spans="1:12" s="106" customFormat="1" ht="15.75" hidden="1" customHeight="1" outlineLevel="1">
      <c r="A563" s="932"/>
      <c r="B563" s="1086"/>
      <c r="C563" s="1095"/>
      <c r="D563" s="1091"/>
      <c r="E563" s="1091"/>
      <c r="F563" s="1093"/>
      <c r="G563" s="98"/>
      <c r="H563" s="93"/>
      <c r="I563" s="1091"/>
      <c r="J563" s="1084"/>
      <c r="K563" s="1084"/>
      <c r="L563" s="932"/>
    </row>
    <row r="564" spans="1:12" s="106" customFormat="1" ht="15.75" hidden="1" customHeight="1" outlineLevel="1">
      <c r="A564" s="932"/>
      <c r="B564" s="1087"/>
      <c r="C564" s="1096"/>
      <c r="D564" s="1092"/>
      <c r="E564" s="1092"/>
      <c r="F564" s="1094"/>
      <c r="G564" s="103"/>
      <c r="H564" s="101"/>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93"/>
      <c r="I565" s="1091"/>
      <c r="J565" s="1083"/>
      <c r="K565" s="1083"/>
      <c r="L565" s="932"/>
    </row>
    <row r="566" spans="1:12" s="106" customFormat="1" ht="15.75" hidden="1" customHeight="1" outlineLevel="1">
      <c r="A566" s="932"/>
      <c r="B566" s="1086"/>
      <c r="C566" s="1095"/>
      <c r="D566" s="1091"/>
      <c r="E566" s="1091"/>
      <c r="F566" s="1093"/>
      <c r="G566" s="98"/>
      <c r="H566" s="93"/>
      <c r="I566" s="1091"/>
      <c r="J566" s="1084"/>
      <c r="K566" s="1084"/>
      <c r="L566" s="932"/>
    </row>
    <row r="567" spans="1:12" s="106" customFormat="1" ht="15.75" hidden="1" customHeight="1" outlineLevel="1">
      <c r="A567" s="932"/>
      <c r="B567" s="1087"/>
      <c r="C567" s="1096"/>
      <c r="D567" s="1092"/>
      <c r="E567" s="1092"/>
      <c r="F567" s="1094"/>
      <c r="G567" s="103"/>
      <c r="H567" s="101"/>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93"/>
      <c r="I568" s="1091"/>
      <c r="J568" s="1083"/>
      <c r="K568" s="1083"/>
      <c r="L568" s="932"/>
    </row>
    <row r="569" spans="1:12" s="106" customFormat="1" ht="15.75" hidden="1" customHeight="1" outlineLevel="1">
      <c r="A569" s="932"/>
      <c r="B569" s="1086"/>
      <c r="C569" s="1095"/>
      <c r="D569" s="1091"/>
      <c r="E569" s="1091"/>
      <c r="F569" s="1093"/>
      <c r="G569" s="98"/>
      <c r="H569" s="93"/>
      <c r="I569" s="1091"/>
      <c r="J569" s="1084"/>
      <c r="K569" s="1084"/>
      <c r="L569" s="932"/>
    </row>
    <row r="570" spans="1:12" s="106" customFormat="1" ht="15.75" hidden="1" customHeight="1" outlineLevel="1">
      <c r="A570" s="932"/>
      <c r="B570" s="1087"/>
      <c r="C570" s="1096"/>
      <c r="D570" s="1092"/>
      <c r="E570" s="1092"/>
      <c r="F570" s="1094"/>
      <c r="G570" s="103"/>
      <c r="H570" s="101"/>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93"/>
      <c r="I571" s="1091"/>
      <c r="J571" s="1083"/>
      <c r="K571" s="1083"/>
      <c r="L571" s="932"/>
    </row>
    <row r="572" spans="1:12" s="106" customFormat="1" ht="15.75" hidden="1" customHeight="1" outlineLevel="1">
      <c r="A572" s="932"/>
      <c r="B572" s="1086"/>
      <c r="C572" s="1095"/>
      <c r="D572" s="1091"/>
      <c r="E572" s="1091"/>
      <c r="F572" s="1093"/>
      <c r="G572" s="98"/>
      <c r="H572" s="93"/>
      <c r="I572" s="1091"/>
      <c r="J572" s="1084"/>
      <c r="K572" s="1084"/>
      <c r="L572" s="932"/>
    </row>
    <row r="573" spans="1:12" s="106" customFormat="1" ht="15.75" hidden="1" customHeight="1" outlineLevel="1">
      <c r="A573" s="932"/>
      <c r="B573" s="1087"/>
      <c r="C573" s="1096"/>
      <c r="D573" s="1092"/>
      <c r="E573" s="1092"/>
      <c r="F573" s="1094"/>
      <c r="G573" s="103"/>
      <c r="H573" s="101"/>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93"/>
      <c r="I574" s="1091"/>
      <c r="J574" s="1083"/>
      <c r="K574" s="1083"/>
      <c r="L574" s="932"/>
    </row>
    <row r="575" spans="1:12" s="106" customFormat="1" ht="15.75" hidden="1" customHeight="1" outlineLevel="1">
      <c r="A575" s="932"/>
      <c r="B575" s="1086"/>
      <c r="C575" s="1095"/>
      <c r="D575" s="1091"/>
      <c r="E575" s="1091"/>
      <c r="F575" s="1093"/>
      <c r="G575" s="98"/>
      <c r="H575" s="93"/>
      <c r="I575" s="1091"/>
      <c r="J575" s="1084"/>
      <c r="K575" s="1084"/>
      <c r="L575" s="932"/>
    </row>
    <row r="576" spans="1:12" s="106" customFormat="1" ht="15.75" hidden="1" customHeight="1" outlineLevel="1">
      <c r="A576" s="932"/>
      <c r="B576" s="1087"/>
      <c r="C576" s="1096"/>
      <c r="D576" s="1092"/>
      <c r="E576" s="1092"/>
      <c r="F576" s="1094"/>
      <c r="G576" s="103"/>
      <c r="H576" s="101"/>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93"/>
      <c r="I577" s="1091"/>
      <c r="J577" s="1083"/>
      <c r="K577" s="1083"/>
      <c r="L577" s="932"/>
    </row>
    <row r="578" spans="1:12" s="106" customFormat="1" ht="15.75" hidden="1" customHeight="1" outlineLevel="1">
      <c r="A578" s="932"/>
      <c r="B578" s="1086"/>
      <c r="C578" s="1095"/>
      <c r="D578" s="1091"/>
      <c r="E578" s="1091"/>
      <c r="F578" s="1093"/>
      <c r="G578" s="98"/>
      <c r="H578" s="93"/>
      <c r="I578" s="1091"/>
      <c r="J578" s="1084"/>
      <c r="K578" s="1084"/>
      <c r="L578" s="932"/>
    </row>
    <row r="579" spans="1:12" s="106" customFormat="1" ht="15.75" hidden="1" customHeight="1" outlineLevel="1">
      <c r="A579" s="932"/>
      <c r="B579" s="1087"/>
      <c r="C579" s="1096"/>
      <c r="D579" s="1092"/>
      <c r="E579" s="1092"/>
      <c r="F579" s="1094"/>
      <c r="G579" s="103"/>
      <c r="H579" s="101"/>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93"/>
      <c r="I580" s="1091"/>
      <c r="J580" s="1083"/>
      <c r="K580" s="1083"/>
      <c r="L580" s="932"/>
    </row>
    <row r="581" spans="1:12" s="106" customFormat="1" ht="15.75" hidden="1" customHeight="1" outlineLevel="1">
      <c r="A581" s="932"/>
      <c r="B581" s="1086"/>
      <c r="C581" s="1095"/>
      <c r="D581" s="1091"/>
      <c r="E581" s="1091"/>
      <c r="F581" s="1093"/>
      <c r="G581" s="98"/>
      <c r="H581" s="93"/>
      <c r="I581" s="1091"/>
      <c r="J581" s="1084"/>
      <c r="K581" s="1084"/>
      <c r="L581" s="932"/>
    </row>
    <row r="582" spans="1:12" s="106" customFormat="1" ht="15.75" hidden="1" customHeight="1" outlineLevel="1">
      <c r="A582" s="932"/>
      <c r="B582" s="1087"/>
      <c r="C582" s="1096"/>
      <c r="D582" s="1092"/>
      <c r="E582" s="1092"/>
      <c r="F582" s="1094"/>
      <c r="G582" s="103"/>
      <c r="H582" s="101"/>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93"/>
      <c r="I583" s="1091"/>
      <c r="J583" s="1083"/>
      <c r="K583" s="1083"/>
      <c r="L583" s="932"/>
    </row>
    <row r="584" spans="1:12" s="106" customFormat="1" ht="15.75" hidden="1" customHeight="1" outlineLevel="1">
      <c r="A584" s="932"/>
      <c r="B584" s="1086"/>
      <c r="C584" s="1095"/>
      <c r="D584" s="1091"/>
      <c r="E584" s="1091"/>
      <c r="F584" s="1093"/>
      <c r="G584" s="98"/>
      <c r="H584" s="93"/>
      <c r="I584" s="1091"/>
      <c r="J584" s="1084"/>
      <c r="K584" s="1084"/>
      <c r="L584" s="932"/>
    </row>
    <row r="585" spans="1:12" s="106" customFormat="1" ht="15.75" hidden="1" customHeight="1" outlineLevel="1">
      <c r="A585" s="932"/>
      <c r="B585" s="1087"/>
      <c r="C585" s="1096"/>
      <c r="D585" s="1092"/>
      <c r="E585" s="1092"/>
      <c r="F585" s="1094"/>
      <c r="G585" s="103"/>
      <c r="H585" s="101"/>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93"/>
      <c r="I586" s="1091"/>
      <c r="J586" s="1083"/>
      <c r="K586" s="1083"/>
      <c r="L586" s="932"/>
    </row>
    <row r="587" spans="1:12" s="106" customFormat="1" ht="15.75" hidden="1" customHeight="1" outlineLevel="1">
      <c r="A587" s="932"/>
      <c r="B587" s="1086"/>
      <c r="C587" s="1095"/>
      <c r="D587" s="1091"/>
      <c r="E587" s="1091"/>
      <c r="F587" s="1093"/>
      <c r="G587" s="98"/>
      <c r="H587" s="93"/>
      <c r="I587" s="1091"/>
      <c r="J587" s="1084"/>
      <c r="K587" s="1084"/>
      <c r="L587" s="932"/>
    </row>
    <row r="588" spans="1:12" s="106" customFormat="1" ht="15.75" hidden="1" customHeight="1" outlineLevel="1">
      <c r="A588" s="932"/>
      <c r="B588" s="1087"/>
      <c r="C588" s="1096"/>
      <c r="D588" s="1092"/>
      <c r="E588" s="1092"/>
      <c r="F588" s="1094"/>
      <c r="G588" s="103"/>
      <c r="H588" s="101"/>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93"/>
      <c r="I589" s="1091"/>
      <c r="J589" s="1083"/>
      <c r="K589" s="1083"/>
      <c r="L589" s="932"/>
    </row>
    <row r="590" spans="1:12" s="106" customFormat="1" ht="15.75" hidden="1" customHeight="1" outlineLevel="1">
      <c r="A590" s="932"/>
      <c r="B590" s="1086"/>
      <c r="C590" s="1095"/>
      <c r="D590" s="1091"/>
      <c r="E590" s="1091"/>
      <c r="F590" s="1093"/>
      <c r="G590" s="98"/>
      <c r="H590" s="93"/>
      <c r="I590" s="1091"/>
      <c r="J590" s="1084"/>
      <c r="K590" s="1084"/>
      <c r="L590" s="932"/>
    </row>
    <row r="591" spans="1:12" s="106" customFormat="1" ht="15.75" hidden="1" customHeight="1" outlineLevel="1">
      <c r="A591" s="932"/>
      <c r="B591" s="1087"/>
      <c r="C591" s="1096"/>
      <c r="D591" s="1092"/>
      <c r="E591" s="1092"/>
      <c r="F591" s="1094"/>
      <c r="G591" s="103"/>
      <c r="H591" s="101"/>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93"/>
      <c r="I592" s="1091"/>
      <c r="J592" s="1083"/>
      <c r="K592" s="1083"/>
      <c r="L592" s="932"/>
    </row>
    <row r="593" spans="1:12" s="106" customFormat="1" ht="15.75" hidden="1" customHeight="1" outlineLevel="1">
      <c r="A593" s="932"/>
      <c r="B593" s="1086"/>
      <c r="C593" s="1095"/>
      <c r="D593" s="1091"/>
      <c r="E593" s="1091"/>
      <c r="F593" s="1093"/>
      <c r="G593" s="98"/>
      <c r="H593" s="93"/>
      <c r="I593" s="1091"/>
      <c r="J593" s="1084"/>
      <c r="K593" s="1084"/>
      <c r="L593" s="932"/>
    </row>
    <row r="594" spans="1:12" s="106" customFormat="1" ht="15.75" hidden="1" customHeight="1" outlineLevel="1">
      <c r="A594" s="932"/>
      <c r="B594" s="1087"/>
      <c r="C594" s="1096"/>
      <c r="D594" s="1092"/>
      <c r="E594" s="1092"/>
      <c r="F594" s="1094"/>
      <c r="G594" s="103"/>
      <c r="H594" s="101"/>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93"/>
      <c r="I595" s="1091"/>
      <c r="J595" s="1083"/>
      <c r="K595" s="1083"/>
      <c r="L595" s="932"/>
    </row>
    <row r="596" spans="1:12" s="106" customFormat="1" ht="15.75" hidden="1" customHeight="1" outlineLevel="1">
      <c r="A596" s="932"/>
      <c r="B596" s="1086"/>
      <c r="C596" s="1095"/>
      <c r="D596" s="1091"/>
      <c r="E596" s="1091"/>
      <c r="F596" s="1093"/>
      <c r="G596" s="98"/>
      <c r="H596" s="93"/>
      <c r="I596" s="1091"/>
      <c r="J596" s="1084"/>
      <c r="K596" s="1084"/>
      <c r="L596" s="932"/>
    </row>
    <row r="597" spans="1:12" s="106" customFormat="1" ht="15.75" hidden="1" customHeight="1" outlineLevel="1">
      <c r="A597" s="932"/>
      <c r="B597" s="1087"/>
      <c r="C597" s="1096"/>
      <c r="D597" s="1092"/>
      <c r="E597" s="1092"/>
      <c r="F597" s="1094"/>
      <c r="G597" s="103"/>
      <c r="H597" s="101"/>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93"/>
      <c r="I598" s="1091"/>
      <c r="J598" s="1083"/>
      <c r="K598" s="1083"/>
      <c r="L598" s="932"/>
    </row>
    <row r="599" spans="1:12" s="106" customFormat="1" ht="15.75" hidden="1" customHeight="1" outlineLevel="1">
      <c r="A599" s="932"/>
      <c r="B599" s="1086"/>
      <c r="C599" s="1095"/>
      <c r="D599" s="1091"/>
      <c r="E599" s="1091"/>
      <c r="F599" s="1093"/>
      <c r="G599" s="98"/>
      <c r="H599" s="93"/>
      <c r="I599" s="1091"/>
      <c r="J599" s="1084"/>
      <c r="K599" s="1084"/>
      <c r="L599" s="932"/>
    </row>
    <row r="600" spans="1:12" s="106" customFormat="1" ht="15.75" hidden="1" customHeight="1" outlineLevel="1">
      <c r="A600" s="932"/>
      <c r="B600" s="1087"/>
      <c r="C600" s="1096"/>
      <c r="D600" s="1092"/>
      <c r="E600" s="1092"/>
      <c r="F600" s="1094"/>
      <c r="G600" s="103"/>
      <c r="H600" s="101"/>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93"/>
      <c r="I601" s="1091"/>
      <c r="J601" s="1083"/>
      <c r="K601" s="1083"/>
      <c r="L601" s="932"/>
    </row>
    <row r="602" spans="1:12" s="106" customFormat="1" ht="15.75" hidden="1" customHeight="1" outlineLevel="1">
      <c r="A602" s="932"/>
      <c r="B602" s="1086"/>
      <c r="C602" s="1095"/>
      <c r="D602" s="1091"/>
      <c r="E602" s="1091"/>
      <c r="F602" s="1093"/>
      <c r="G602" s="98"/>
      <c r="H602" s="93"/>
      <c r="I602" s="1091"/>
      <c r="J602" s="1084"/>
      <c r="K602" s="1084"/>
      <c r="L602" s="932"/>
    </row>
    <row r="603" spans="1:12" s="106" customFormat="1" ht="15.75" hidden="1" customHeight="1" outlineLevel="1">
      <c r="A603" s="932"/>
      <c r="B603" s="1087"/>
      <c r="C603" s="1096"/>
      <c r="D603" s="1092"/>
      <c r="E603" s="1092"/>
      <c r="F603" s="1094"/>
      <c r="G603" s="103"/>
      <c r="H603" s="101"/>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93"/>
      <c r="I604" s="1091"/>
      <c r="J604" s="1083"/>
      <c r="K604" s="1083"/>
      <c r="L604" s="932"/>
    </row>
    <row r="605" spans="1:12" s="106" customFormat="1" ht="15.75" hidden="1" customHeight="1" outlineLevel="1">
      <c r="A605" s="932"/>
      <c r="B605" s="1086"/>
      <c r="C605" s="1095"/>
      <c r="D605" s="1091"/>
      <c r="E605" s="1091"/>
      <c r="F605" s="1093"/>
      <c r="G605" s="98"/>
      <c r="H605" s="93"/>
      <c r="I605" s="1091"/>
      <c r="J605" s="1084"/>
      <c r="K605" s="1084"/>
      <c r="L605" s="932"/>
    </row>
    <row r="606" spans="1:12" s="106" customFormat="1" ht="15.75" hidden="1" customHeight="1" outlineLevel="1">
      <c r="A606" s="932"/>
      <c r="B606" s="1087"/>
      <c r="C606" s="1096"/>
      <c r="D606" s="1092"/>
      <c r="E606" s="1092"/>
      <c r="F606" s="1094"/>
      <c r="G606" s="103"/>
      <c r="H606" s="101"/>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93"/>
      <c r="I607" s="1091"/>
      <c r="J607" s="1083"/>
      <c r="K607" s="1083"/>
      <c r="L607" s="932"/>
    </row>
    <row r="608" spans="1:12" s="106" customFormat="1" ht="15.75" hidden="1" customHeight="1" outlineLevel="1">
      <c r="A608" s="932"/>
      <c r="B608" s="1086"/>
      <c r="C608" s="1095"/>
      <c r="D608" s="1091"/>
      <c r="E608" s="1091"/>
      <c r="F608" s="1093"/>
      <c r="G608" s="98"/>
      <c r="H608" s="93"/>
      <c r="I608" s="1091"/>
      <c r="J608" s="1084"/>
      <c r="K608" s="1084"/>
      <c r="L608" s="932"/>
    </row>
    <row r="609" spans="1:12" s="106" customFormat="1" ht="15.75" hidden="1" customHeight="1" outlineLevel="1">
      <c r="A609" s="932"/>
      <c r="B609" s="1087"/>
      <c r="C609" s="1096"/>
      <c r="D609" s="1092"/>
      <c r="E609" s="1092"/>
      <c r="F609" s="1094"/>
      <c r="G609" s="103"/>
      <c r="H609" s="101"/>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row>
    <row r="611" spans="1:12" s="106" customFormat="1" ht="15.75" hidden="1" customHeight="1" outlineLevel="1">
      <c r="A611" s="932"/>
      <c r="B611" s="1086"/>
      <c r="C611" s="1089"/>
      <c r="D611" s="1091"/>
      <c r="E611" s="1091"/>
      <c r="F611" s="1093"/>
      <c r="G611" s="98"/>
      <c r="H611" s="93"/>
      <c r="I611" s="1091"/>
      <c r="J611" s="1084"/>
      <c r="K611" s="1084"/>
      <c r="L611" s="932"/>
    </row>
    <row r="612" spans="1:12" s="106" customFormat="1" ht="15.75" hidden="1" customHeight="1" outlineLevel="1" thickBot="1">
      <c r="A612" s="932"/>
      <c r="B612" s="1087"/>
      <c r="C612" s="1090"/>
      <c r="D612" s="1092"/>
      <c r="E612" s="1092"/>
      <c r="F612" s="1094"/>
      <c r="G612" s="103"/>
      <c r="H612" s="101"/>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xr:uid="{00000000-0002-0000-1100-000000000000}">
      <formula1>$N$13:$N$17</formula1>
    </dataValidation>
  </dataValidations>
  <hyperlinks>
    <hyperlink ref="C1" location="Spis!B42" display="&gt;&gt; powrót do spisu treści" xr:uid="{00000000-0004-0000-11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113" t="s">
        <v>179</v>
      </c>
      <c r="D6" s="1021"/>
      <c r="E6" s="1021"/>
      <c r="F6" s="1021"/>
      <c r="G6" s="1021"/>
      <c r="H6" s="1021"/>
      <c r="I6" s="919"/>
      <c r="J6" s="896"/>
      <c r="K6" s="896"/>
      <c r="L6" s="896"/>
    </row>
    <row r="7" spans="1:19" s="82" customFormat="1" ht="30" customHeight="1" thickBot="1">
      <c r="A7" s="923"/>
      <c r="B7" s="924" t="s">
        <v>261</v>
      </c>
      <c r="C7" s="923"/>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841"/>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839"/>
      <c r="I142" s="1091"/>
      <c r="J142" s="1083"/>
      <c r="K142" s="1083"/>
      <c r="L142" s="932"/>
    </row>
    <row r="143" spans="1:12" s="106" customFormat="1" ht="15.75" hidden="1" customHeight="1" outlineLevel="1">
      <c r="A143" s="932"/>
      <c r="B143" s="1086"/>
      <c r="C143" s="1095"/>
      <c r="D143" s="1091"/>
      <c r="E143" s="1091"/>
      <c r="F143" s="1093"/>
      <c r="G143" s="98"/>
      <c r="H143" s="839"/>
      <c r="I143" s="1091"/>
      <c r="J143" s="1084"/>
      <c r="K143" s="1084"/>
      <c r="L143" s="932"/>
    </row>
    <row r="144" spans="1:12" s="106" customFormat="1" ht="15.75" hidden="1" customHeight="1" outlineLevel="1">
      <c r="A144" s="932"/>
      <c r="B144" s="1087"/>
      <c r="C144" s="1096"/>
      <c r="D144" s="1092"/>
      <c r="E144" s="1092"/>
      <c r="F144" s="1094"/>
      <c r="G144" s="103"/>
      <c r="H144" s="840"/>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839"/>
      <c r="I145" s="1091"/>
      <c r="J145" s="1083"/>
      <c r="K145" s="1083"/>
      <c r="L145" s="932"/>
    </row>
    <row r="146" spans="1:12" s="106" customFormat="1" ht="15.75" hidden="1" customHeight="1" outlineLevel="1">
      <c r="A146" s="932"/>
      <c r="B146" s="1086"/>
      <c r="C146" s="1095"/>
      <c r="D146" s="1091"/>
      <c r="E146" s="1091"/>
      <c r="F146" s="1093"/>
      <c r="G146" s="98"/>
      <c r="H146" s="839"/>
      <c r="I146" s="1091"/>
      <c r="J146" s="1084"/>
      <c r="K146" s="1084"/>
      <c r="L146" s="932"/>
    </row>
    <row r="147" spans="1:12" s="106" customFormat="1" ht="15.75" hidden="1" customHeight="1" outlineLevel="1">
      <c r="A147" s="932"/>
      <c r="B147" s="1087"/>
      <c r="C147" s="1096"/>
      <c r="D147" s="1092"/>
      <c r="E147" s="1092"/>
      <c r="F147" s="1094"/>
      <c r="G147" s="103"/>
      <c r="H147" s="840"/>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839"/>
      <c r="I148" s="1091"/>
      <c r="J148" s="1083"/>
      <c r="K148" s="1083"/>
      <c r="L148" s="932"/>
    </row>
    <row r="149" spans="1:12" s="106" customFormat="1" ht="15.75" hidden="1" customHeight="1" outlineLevel="1">
      <c r="A149" s="932"/>
      <c r="B149" s="1086"/>
      <c r="C149" s="1095"/>
      <c r="D149" s="1091"/>
      <c r="E149" s="1091"/>
      <c r="F149" s="1093"/>
      <c r="G149" s="98"/>
      <c r="H149" s="839"/>
      <c r="I149" s="1091"/>
      <c r="J149" s="1084"/>
      <c r="K149" s="1084"/>
      <c r="L149" s="932"/>
    </row>
    <row r="150" spans="1:12" s="106" customFormat="1" ht="15.75" hidden="1" customHeight="1" outlineLevel="1">
      <c r="A150" s="932"/>
      <c r="B150" s="1087"/>
      <c r="C150" s="1096"/>
      <c r="D150" s="1092"/>
      <c r="E150" s="1092"/>
      <c r="F150" s="1094"/>
      <c r="G150" s="103"/>
      <c r="H150" s="840"/>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839"/>
      <c r="I151" s="1091"/>
      <c r="J151" s="1083"/>
      <c r="K151" s="1083"/>
      <c r="L151" s="932"/>
    </row>
    <row r="152" spans="1:12" s="106" customFormat="1" ht="15.75" hidden="1" customHeight="1" outlineLevel="1">
      <c r="A152" s="932"/>
      <c r="B152" s="1086"/>
      <c r="C152" s="1095"/>
      <c r="D152" s="1091"/>
      <c r="E152" s="1091"/>
      <c r="F152" s="1093"/>
      <c r="G152" s="98"/>
      <c r="H152" s="839"/>
      <c r="I152" s="1091"/>
      <c r="J152" s="1084"/>
      <c r="K152" s="1084"/>
      <c r="L152" s="932"/>
    </row>
    <row r="153" spans="1:12" s="106" customFormat="1" ht="15.75" hidden="1" customHeight="1" outlineLevel="1">
      <c r="A153" s="932"/>
      <c r="B153" s="1087"/>
      <c r="C153" s="1096"/>
      <c r="D153" s="1092"/>
      <c r="E153" s="1092"/>
      <c r="F153" s="1094"/>
      <c r="G153" s="103"/>
      <c r="H153" s="840"/>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839"/>
      <c r="I154" s="1091"/>
      <c r="J154" s="1083"/>
      <c r="K154" s="1083"/>
      <c r="L154" s="932"/>
    </row>
    <row r="155" spans="1:12" s="106" customFormat="1" ht="15.75" hidden="1" customHeight="1" outlineLevel="1">
      <c r="A155" s="932"/>
      <c r="B155" s="1086"/>
      <c r="C155" s="1095"/>
      <c r="D155" s="1091"/>
      <c r="E155" s="1091"/>
      <c r="F155" s="1093"/>
      <c r="G155" s="98"/>
      <c r="H155" s="839"/>
      <c r="I155" s="1091"/>
      <c r="J155" s="1084"/>
      <c r="K155" s="1084"/>
      <c r="L155" s="932"/>
    </row>
    <row r="156" spans="1:12" s="106" customFormat="1" ht="15.75" hidden="1" customHeight="1" outlineLevel="1">
      <c r="A156" s="932"/>
      <c r="B156" s="1087"/>
      <c r="C156" s="1096"/>
      <c r="D156" s="1092"/>
      <c r="E156" s="1092"/>
      <c r="F156" s="1094"/>
      <c r="G156" s="103"/>
      <c r="H156" s="840"/>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839"/>
      <c r="I157" s="1091"/>
      <c r="J157" s="1083"/>
      <c r="K157" s="1083"/>
      <c r="L157" s="932"/>
    </row>
    <row r="158" spans="1:12" s="106" customFormat="1" ht="15.75" hidden="1" customHeight="1" outlineLevel="1">
      <c r="A158" s="932"/>
      <c r="B158" s="1086"/>
      <c r="C158" s="1095"/>
      <c r="D158" s="1091"/>
      <c r="E158" s="1091"/>
      <c r="F158" s="1093"/>
      <c r="G158" s="98"/>
      <c r="H158" s="839"/>
      <c r="I158" s="1091"/>
      <c r="J158" s="1084"/>
      <c r="K158" s="1084"/>
      <c r="L158" s="932"/>
    </row>
    <row r="159" spans="1:12" s="106" customFormat="1" ht="15.75" hidden="1" customHeight="1" outlineLevel="1">
      <c r="A159" s="932"/>
      <c r="B159" s="1087"/>
      <c r="C159" s="1096"/>
      <c r="D159" s="1092"/>
      <c r="E159" s="1092"/>
      <c r="F159" s="1094"/>
      <c r="G159" s="103"/>
      <c r="H159" s="840"/>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839"/>
      <c r="I160" s="1091"/>
      <c r="J160" s="1083"/>
      <c r="K160" s="1083"/>
      <c r="L160" s="932"/>
    </row>
    <row r="161" spans="1:12" s="106" customFormat="1" ht="15.75" hidden="1" customHeight="1" outlineLevel="1">
      <c r="A161" s="932"/>
      <c r="B161" s="1086"/>
      <c r="C161" s="1095"/>
      <c r="D161" s="1091"/>
      <c r="E161" s="1091"/>
      <c r="F161" s="1093"/>
      <c r="G161" s="98"/>
      <c r="H161" s="839"/>
      <c r="I161" s="1091"/>
      <c r="J161" s="1084"/>
      <c r="K161" s="1084"/>
      <c r="L161" s="932"/>
    </row>
    <row r="162" spans="1:12" s="106" customFormat="1" ht="15.75" hidden="1" customHeight="1" outlineLevel="1">
      <c r="A162" s="932"/>
      <c r="B162" s="1087"/>
      <c r="C162" s="1096"/>
      <c r="D162" s="1092"/>
      <c r="E162" s="1092"/>
      <c r="F162" s="1094"/>
      <c r="G162" s="103"/>
      <c r="H162" s="840"/>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839"/>
      <c r="I163" s="1091"/>
      <c r="J163" s="1083"/>
      <c r="K163" s="1083"/>
      <c r="L163" s="932"/>
    </row>
    <row r="164" spans="1:12" s="106" customFormat="1" ht="15.75" hidden="1" customHeight="1" outlineLevel="1">
      <c r="A164" s="932"/>
      <c r="B164" s="1086"/>
      <c r="C164" s="1095"/>
      <c r="D164" s="1091"/>
      <c r="E164" s="1091"/>
      <c r="F164" s="1093"/>
      <c r="G164" s="98"/>
      <c r="H164" s="839"/>
      <c r="I164" s="1091"/>
      <c r="J164" s="1084"/>
      <c r="K164" s="1084"/>
      <c r="L164" s="932"/>
    </row>
    <row r="165" spans="1:12" s="106" customFormat="1" ht="15.75" hidden="1" customHeight="1" outlineLevel="1">
      <c r="A165" s="932"/>
      <c r="B165" s="1087"/>
      <c r="C165" s="1096"/>
      <c r="D165" s="1092"/>
      <c r="E165" s="1092"/>
      <c r="F165" s="1094"/>
      <c r="G165" s="103"/>
      <c r="H165" s="840"/>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839"/>
      <c r="I166" s="1091"/>
      <c r="J166" s="1083"/>
      <c r="K166" s="1083"/>
      <c r="L166" s="932"/>
    </row>
    <row r="167" spans="1:12" s="106" customFormat="1" ht="15.75" hidden="1" customHeight="1" outlineLevel="1">
      <c r="A167" s="932"/>
      <c r="B167" s="1086"/>
      <c r="C167" s="1095"/>
      <c r="D167" s="1091"/>
      <c r="E167" s="1091"/>
      <c r="F167" s="1093"/>
      <c r="G167" s="98"/>
      <c r="H167" s="839"/>
      <c r="I167" s="1091"/>
      <c r="J167" s="1084"/>
      <c r="K167" s="1084"/>
      <c r="L167" s="932"/>
    </row>
    <row r="168" spans="1:12" s="106" customFormat="1" ht="15.75" hidden="1" customHeight="1" outlineLevel="1">
      <c r="A168" s="932"/>
      <c r="B168" s="1087"/>
      <c r="C168" s="1096"/>
      <c r="D168" s="1092"/>
      <c r="E168" s="1092"/>
      <c r="F168" s="1094"/>
      <c r="G168" s="103"/>
      <c r="H168" s="840"/>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839"/>
      <c r="I169" s="1091"/>
      <c r="J169" s="1083"/>
      <c r="K169" s="1083"/>
      <c r="L169" s="932"/>
    </row>
    <row r="170" spans="1:12" s="106" customFormat="1" ht="15.75" hidden="1" customHeight="1" outlineLevel="1">
      <c r="A170" s="932"/>
      <c r="B170" s="1086"/>
      <c r="C170" s="1095"/>
      <c r="D170" s="1091"/>
      <c r="E170" s="1091"/>
      <c r="F170" s="1093"/>
      <c r="G170" s="98"/>
      <c r="H170" s="839"/>
      <c r="I170" s="1091"/>
      <c r="J170" s="1084"/>
      <c r="K170" s="1084"/>
      <c r="L170" s="932"/>
    </row>
    <row r="171" spans="1:12" s="106" customFormat="1" ht="15.75" hidden="1" customHeight="1" outlineLevel="1">
      <c r="A171" s="932"/>
      <c r="B171" s="1087"/>
      <c r="C171" s="1096"/>
      <c r="D171" s="1092"/>
      <c r="E171" s="1092"/>
      <c r="F171" s="1094"/>
      <c r="G171" s="103"/>
      <c r="H171" s="840"/>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839"/>
      <c r="I172" s="1091"/>
      <c r="J172" s="1083"/>
      <c r="K172" s="1083"/>
      <c r="L172" s="932"/>
    </row>
    <row r="173" spans="1:12" s="106" customFormat="1" ht="15.75" hidden="1" customHeight="1" outlineLevel="1">
      <c r="A173" s="932"/>
      <c r="B173" s="1086"/>
      <c r="C173" s="1095"/>
      <c r="D173" s="1091"/>
      <c r="E173" s="1091"/>
      <c r="F173" s="1093"/>
      <c r="G173" s="98"/>
      <c r="H173" s="839"/>
      <c r="I173" s="1091"/>
      <c r="J173" s="1084"/>
      <c r="K173" s="1084"/>
      <c r="L173" s="932"/>
    </row>
    <row r="174" spans="1:12" s="106" customFormat="1" ht="15.75" hidden="1" customHeight="1" outlineLevel="1">
      <c r="A174" s="932"/>
      <c r="B174" s="1087"/>
      <c r="C174" s="1096"/>
      <c r="D174" s="1092"/>
      <c r="E174" s="1092"/>
      <c r="F174" s="1094"/>
      <c r="G174" s="103"/>
      <c r="H174" s="840"/>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839"/>
      <c r="I175" s="1091"/>
      <c r="J175" s="1083"/>
      <c r="K175" s="1083"/>
      <c r="L175" s="932"/>
    </row>
    <row r="176" spans="1:12" s="106" customFormat="1" ht="15.75" hidden="1" customHeight="1" outlineLevel="1">
      <c r="A176" s="932"/>
      <c r="B176" s="1086"/>
      <c r="C176" s="1095"/>
      <c r="D176" s="1091"/>
      <c r="E176" s="1091"/>
      <c r="F176" s="1093"/>
      <c r="G176" s="98"/>
      <c r="H176" s="839"/>
      <c r="I176" s="1091"/>
      <c r="J176" s="1084"/>
      <c r="K176" s="1084"/>
      <c r="L176" s="932"/>
    </row>
    <row r="177" spans="1:12" s="106" customFormat="1" ht="15.75" hidden="1" customHeight="1" outlineLevel="1">
      <c r="A177" s="932"/>
      <c r="B177" s="1087"/>
      <c r="C177" s="1096"/>
      <c r="D177" s="1092"/>
      <c r="E177" s="1092"/>
      <c r="F177" s="1094"/>
      <c r="G177" s="103"/>
      <c r="H177" s="840"/>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839"/>
      <c r="I178" s="1091"/>
      <c r="J178" s="1083"/>
      <c r="K178" s="1083"/>
      <c r="L178" s="932"/>
    </row>
    <row r="179" spans="1:12" s="106" customFormat="1" ht="15.75" hidden="1" customHeight="1" outlineLevel="1">
      <c r="A179" s="932"/>
      <c r="B179" s="1086"/>
      <c r="C179" s="1095"/>
      <c r="D179" s="1091"/>
      <c r="E179" s="1091"/>
      <c r="F179" s="1093"/>
      <c r="G179" s="98"/>
      <c r="H179" s="839"/>
      <c r="I179" s="1091"/>
      <c r="J179" s="1084"/>
      <c r="K179" s="1084"/>
      <c r="L179" s="932"/>
    </row>
    <row r="180" spans="1:12" s="106" customFormat="1" ht="15.75" hidden="1" customHeight="1" outlineLevel="1">
      <c r="A180" s="932"/>
      <c r="B180" s="1087"/>
      <c r="C180" s="1096"/>
      <c r="D180" s="1092"/>
      <c r="E180" s="1092"/>
      <c r="F180" s="1094"/>
      <c r="G180" s="103"/>
      <c r="H180" s="840"/>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839"/>
      <c r="I181" s="1091"/>
      <c r="J181" s="1083"/>
      <c r="K181" s="1083"/>
      <c r="L181" s="932"/>
    </row>
    <row r="182" spans="1:12" s="106" customFormat="1" ht="15.75" hidden="1" customHeight="1" outlineLevel="1">
      <c r="A182" s="932"/>
      <c r="B182" s="1086"/>
      <c r="C182" s="1095"/>
      <c r="D182" s="1091"/>
      <c r="E182" s="1091"/>
      <c r="F182" s="1093"/>
      <c r="G182" s="98"/>
      <c r="H182" s="839"/>
      <c r="I182" s="1091"/>
      <c r="J182" s="1084"/>
      <c r="K182" s="1084"/>
      <c r="L182" s="932"/>
    </row>
    <row r="183" spans="1:12" s="106" customFormat="1" ht="15.75" hidden="1" customHeight="1" outlineLevel="1">
      <c r="A183" s="932"/>
      <c r="B183" s="1087"/>
      <c r="C183" s="1096"/>
      <c r="D183" s="1092"/>
      <c r="E183" s="1092"/>
      <c r="F183" s="1094"/>
      <c r="G183" s="103"/>
      <c r="H183" s="840"/>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839"/>
      <c r="I184" s="1091"/>
      <c r="J184" s="1083"/>
      <c r="K184" s="1083"/>
      <c r="L184" s="932"/>
    </row>
    <row r="185" spans="1:12" s="106" customFormat="1" ht="15.75" hidden="1" customHeight="1" outlineLevel="1">
      <c r="A185" s="932"/>
      <c r="B185" s="1086"/>
      <c r="C185" s="1095"/>
      <c r="D185" s="1091"/>
      <c r="E185" s="1091"/>
      <c r="F185" s="1093"/>
      <c r="G185" s="98"/>
      <c r="H185" s="839"/>
      <c r="I185" s="1091"/>
      <c r="J185" s="1084"/>
      <c r="K185" s="1084"/>
      <c r="L185" s="932"/>
    </row>
    <row r="186" spans="1:12" s="106" customFormat="1" ht="15.75" hidden="1" customHeight="1" outlineLevel="1">
      <c r="A186" s="932"/>
      <c r="B186" s="1087"/>
      <c r="C186" s="1096"/>
      <c r="D186" s="1092"/>
      <c r="E186" s="1092"/>
      <c r="F186" s="1094"/>
      <c r="G186" s="103"/>
      <c r="H186" s="840"/>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839"/>
      <c r="I187" s="1091"/>
      <c r="J187" s="1083"/>
      <c r="K187" s="1083"/>
      <c r="L187" s="932"/>
    </row>
    <row r="188" spans="1:12" s="106" customFormat="1" ht="15.75" hidden="1" customHeight="1" outlineLevel="1">
      <c r="A188" s="932"/>
      <c r="B188" s="1086"/>
      <c r="C188" s="1095"/>
      <c r="D188" s="1091"/>
      <c r="E188" s="1091"/>
      <c r="F188" s="1093"/>
      <c r="G188" s="98"/>
      <c r="H188" s="839"/>
      <c r="I188" s="1091"/>
      <c r="J188" s="1084"/>
      <c r="K188" s="1084"/>
      <c r="L188" s="932"/>
    </row>
    <row r="189" spans="1:12" s="106" customFormat="1" ht="15.75" hidden="1" customHeight="1" outlineLevel="1">
      <c r="A189" s="932"/>
      <c r="B189" s="1087"/>
      <c r="C189" s="1096"/>
      <c r="D189" s="1092"/>
      <c r="E189" s="1092"/>
      <c r="F189" s="1094"/>
      <c r="G189" s="103"/>
      <c r="H189" s="840"/>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839"/>
      <c r="I190" s="1091"/>
      <c r="J190" s="1083"/>
      <c r="K190" s="1083"/>
      <c r="L190" s="932"/>
    </row>
    <row r="191" spans="1:12" s="106" customFormat="1" ht="15.75" hidden="1" customHeight="1" outlineLevel="1">
      <c r="A191" s="932"/>
      <c r="B191" s="1086"/>
      <c r="C191" s="1095"/>
      <c r="D191" s="1091"/>
      <c r="E191" s="1091"/>
      <c r="F191" s="1093"/>
      <c r="G191" s="98"/>
      <c r="H191" s="839"/>
      <c r="I191" s="1091"/>
      <c r="J191" s="1084"/>
      <c r="K191" s="1084"/>
      <c r="L191" s="932"/>
    </row>
    <row r="192" spans="1:12" s="106" customFormat="1" ht="15.75" hidden="1" customHeight="1" outlineLevel="1">
      <c r="A192" s="932"/>
      <c r="B192" s="1087"/>
      <c r="C192" s="1096"/>
      <c r="D192" s="1092"/>
      <c r="E192" s="1092"/>
      <c r="F192" s="1094"/>
      <c r="G192" s="103"/>
      <c r="H192" s="840"/>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839"/>
      <c r="I193" s="1091"/>
      <c r="J193" s="1083"/>
      <c r="K193" s="1083"/>
      <c r="L193" s="932"/>
    </row>
    <row r="194" spans="1:12" s="106" customFormat="1" ht="15.75" hidden="1" customHeight="1" outlineLevel="1">
      <c r="A194" s="932"/>
      <c r="B194" s="1086"/>
      <c r="C194" s="1095"/>
      <c r="D194" s="1091"/>
      <c r="E194" s="1091"/>
      <c r="F194" s="1093"/>
      <c r="G194" s="98"/>
      <c r="H194" s="839"/>
      <c r="I194" s="1091"/>
      <c r="J194" s="1084"/>
      <c r="K194" s="1084"/>
      <c r="L194" s="932"/>
    </row>
    <row r="195" spans="1:12" s="106" customFormat="1" ht="15.75" hidden="1" customHeight="1" outlineLevel="1">
      <c r="A195" s="932"/>
      <c r="B195" s="1087"/>
      <c r="C195" s="1096"/>
      <c r="D195" s="1092"/>
      <c r="E195" s="1092"/>
      <c r="F195" s="1094"/>
      <c r="G195" s="103"/>
      <c r="H195" s="840"/>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839"/>
      <c r="I196" s="1091"/>
      <c r="J196" s="1083"/>
      <c r="K196" s="1083"/>
      <c r="L196" s="932"/>
    </row>
    <row r="197" spans="1:12" s="106" customFormat="1" ht="15.75" hidden="1" customHeight="1" outlineLevel="1">
      <c r="A197" s="932"/>
      <c r="B197" s="1086"/>
      <c r="C197" s="1095"/>
      <c r="D197" s="1091"/>
      <c r="E197" s="1091"/>
      <c r="F197" s="1093"/>
      <c r="G197" s="98"/>
      <c r="H197" s="839"/>
      <c r="I197" s="1091"/>
      <c r="J197" s="1084"/>
      <c r="K197" s="1084"/>
      <c r="L197" s="932"/>
    </row>
    <row r="198" spans="1:12" s="106" customFormat="1" ht="15.75" hidden="1" customHeight="1" outlineLevel="1">
      <c r="A198" s="932"/>
      <c r="B198" s="1087"/>
      <c r="C198" s="1096"/>
      <c r="D198" s="1092"/>
      <c r="E198" s="1092"/>
      <c r="F198" s="1094"/>
      <c r="G198" s="103"/>
      <c r="H198" s="840"/>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839"/>
      <c r="I199" s="1091"/>
      <c r="J199" s="1083"/>
      <c r="K199" s="1083"/>
      <c r="L199" s="932"/>
    </row>
    <row r="200" spans="1:12" s="106" customFormat="1" ht="15.75" hidden="1" customHeight="1" outlineLevel="1">
      <c r="A200" s="932"/>
      <c r="B200" s="1086"/>
      <c r="C200" s="1095"/>
      <c r="D200" s="1091"/>
      <c r="E200" s="1091"/>
      <c r="F200" s="1093"/>
      <c r="G200" s="98"/>
      <c r="H200" s="839"/>
      <c r="I200" s="1091"/>
      <c r="J200" s="1084"/>
      <c r="K200" s="1084"/>
      <c r="L200" s="932"/>
    </row>
    <row r="201" spans="1:12" s="106" customFormat="1" ht="15.75" hidden="1" customHeight="1" outlineLevel="1">
      <c r="A201" s="932"/>
      <c r="B201" s="1087"/>
      <c r="C201" s="1096"/>
      <c r="D201" s="1092"/>
      <c r="E201" s="1092"/>
      <c r="F201" s="1094"/>
      <c r="G201" s="103"/>
      <c r="H201" s="840"/>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839"/>
      <c r="I202" s="1091"/>
      <c r="J202" s="1083"/>
      <c r="K202" s="1083"/>
      <c r="L202" s="932"/>
    </row>
    <row r="203" spans="1:12" s="106" customFormat="1" ht="15.75" hidden="1" customHeight="1" outlineLevel="1">
      <c r="A203" s="932"/>
      <c r="B203" s="1086"/>
      <c r="C203" s="1095"/>
      <c r="D203" s="1091"/>
      <c r="E203" s="1091"/>
      <c r="F203" s="1093"/>
      <c r="G203" s="98"/>
      <c r="H203" s="839"/>
      <c r="I203" s="1091"/>
      <c r="J203" s="1084"/>
      <c r="K203" s="1084"/>
      <c r="L203" s="932"/>
    </row>
    <row r="204" spans="1:12" s="106" customFormat="1" ht="15.75" hidden="1" customHeight="1" outlineLevel="1">
      <c r="A204" s="932"/>
      <c r="B204" s="1087"/>
      <c r="C204" s="1096"/>
      <c r="D204" s="1092"/>
      <c r="E204" s="1092"/>
      <c r="F204" s="1094"/>
      <c r="G204" s="103"/>
      <c r="H204" s="840"/>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839"/>
      <c r="I205" s="1091"/>
      <c r="J205" s="1083"/>
      <c r="K205" s="1083"/>
      <c r="L205" s="932"/>
    </row>
    <row r="206" spans="1:12" s="106" customFormat="1" ht="15.75" hidden="1" customHeight="1" outlineLevel="1">
      <c r="A206" s="932"/>
      <c r="B206" s="1086"/>
      <c r="C206" s="1095"/>
      <c r="D206" s="1091"/>
      <c r="E206" s="1091"/>
      <c r="F206" s="1093"/>
      <c r="G206" s="98"/>
      <c r="H206" s="839"/>
      <c r="I206" s="1091"/>
      <c r="J206" s="1084"/>
      <c r="K206" s="1084"/>
      <c r="L206" s="932"/>
    </row>
    <row r="207" spans="1:12" s="106" customFormat="1" ht="15.75" hidden="1" customHeight="1" outlineLevel="1">
      <c r="A207" s="932"/>
      <c r="B207" s="1087"/>
      <c r="C207" s="1096"/>
      <c r="D207" s="1092"/>
      <c r="E207" s="1092"/>
      <c r="F207" s="1094"/>
      <c r="G207" s="103"/>
      <c r="H207" s="840"/>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839"/>
      <c r="I208" s="1091"/>
      <c r="J208" s="1083"/>
      <c r="K208" s="1083"/>
      <c r="L208" s="932"/>
    </row>
    <row r="209" spans="1:12" s="106" customFormat="1" ht="15.75" hidden="1" customHeight="1" outlineLevel="1">
      <c r="A209" s="932"/>
      <c r="B209" s="1086"/>
      <c r="C209" s="1095"/>
      <c r="D209" s="1091"/>
      <c r="E209" s="1091"/>
      <c r="F209" s="1093"/>
      <c r="G209" s="98"/>
      <c r="H209" s="839"/>
      <c r="I209" s="1091"/>
      <c r="J209" s="1084"/>
      <c r="K209" s="1084"/>
      <c r="L209" s="932"/>
    </row>
    <row r="210" spans="1:12" s="106" customFormat="1" ht="15.75" hidden="1" customHeight="1" outlineLevel="1">
      <c r="A210" s="932"/>
      <c r="B210" s="1087"/>
      <c r="C210" s="1096"/>
      <c r="D210" s="1092"/>
      <c r="E210" s="1092"/>
      <c r="F210" s="1094"/>
      <c r="G210" s="103"/>
      <c r="H210" s="840"/>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839"/>
      <c r="I211" s="1091"/>
      <c r="J211" s="1083"/>
      <c r="K211" s="1083"/>
      <c r="L211" s="932"/>
    </row>
    <row r="212" spans="1:12" s="106" customFormat="1" ht="15.75" hidden="1" customHeight="1" outlineLevel="1">
      <c r="A212" s="932"/>
      <c r="B212" s="1086"/>
      <c r="C212" s="1095"/>
      <c r="D212" s="1091"/>
      <c r="E212" s="1091"/>
      <c r="F212" s="1093"/>
      <c r="G212" s="98"/>
      <c r="H212" s="839"/>
      <c r="I212" s="1091"/>
      <c r="J212" s="1084"/>
      <c r="K212" s="1084"/>
      <c r="L212" s="932"/>
    </row>
    <row r="213" spans="1:12" s="106" customFormat="1" ht="15.75" hidden="1" customHeight="1" outlineLevel="1">
      <c r="A213" s="932"/>
      <c r="B213" s="1087"/>
      <c r="C213" s="1096"/>
      <c r="D213" s="1092"/>
      <c r="E213" s="1092"/>
      <c r="F213" s="1094"/>
      <c r="G213" s="103"/>
      <c r="H213" s="840"/>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839"/>
      <c r="I214" s="1091"/>
      <c r="J214" s="1083"/>
      <c r="K214" s="1083"/>
      <c r="L214" s="932"/>
    </row>
    <row r="215" spans="1:12" s="106" customFormat="1" ht="15.75" hidden="1" customHeight="1" outlineLevel="1">
      <c r="A215" s="932"/>
      <c r="B215" s="1086"/>
      <c r="C215" s="1095"/>
      <c r="D215" s="1091"/>
      <c r="E215" s="1091"/>
      <c r="F215" s="1093"/>
      <c r="G215" s="98"/>
      <c r="H215" s="839"/>
      <c r="I215" s="1091"/>
      <c r="J215" s="1084"/>
      <c r="K215" s="1084"/>
      <c r="L215" s="932"/>
    </row>
    <row r="216" spans="1:12" s="106" customFormat="1" ht="15.75" hidden="1" customHeight="1" outlineLevel="1">
      <c r="A216" s="932"/>
      <c r="B216" s="1087"/>
      <c r="C216" s="1096"/>
      <c r="D216" s="1092"/>
      <c r="E216" s="1092"/>
      <c r="F216" s="1094"/>
      <c r="G216" s="103"/>
      <c r="H216" s="840"/>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839"/>
      <c r="I217" s="1091"/>
      <c r="J217" s="1083"/>
      <c r="K217" s="1083"/>
      <c r="L217" s="932"/>
    </row>
    <row r="218" spans="1:12" s="106" customFormat="1" ht="15.75" hidden="1" customHeight="1" outlineLevel="1">
      <c r="A218" s="932"/>
      <c r="B218" s="1086"/>
      <c r="C218" s="1095"/>
      <c r="D218" s="1091"/>
      <c r="E218" s="1091"/>
      <c r="F218" s="1093"/>
      <c r="G218" s="98"/>
      <c r="H218" s="839"/>
      <c r="I218" s="1091"/>
      <c r="J218" s="1084"/>
      <c r="K218" s="1084"/>
      <c r="L218" s="932"/>
    </row>
    <row r="219" spans="1:12" s="106" customFormat="1" ht="15.75" hidden="1" customHeight="1" outlineLevel="1">
      <c r="A219" s="932"/>
      <c r="B219" s="1087"/>
      <c r="C219" s="1096"/>
      <c r="D219" s="1092"/>
      <c r="E219" s="1092"/>
      <c r="F219" s="1094"/>
      <c r="G219" s="103"/>
      <c r="H219" s="840"/>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839"/>
      <c r="I220" s="1091"/>
      <c r="J220" s="1083"/>
      <c r="K220" s="1083"/>
      <c r="L220" s="932"/>
    </row>
    <row r="221" spans="1:12" s="106" customFormat="1" ht="15.75" hidden="1" customHeight="1" outlineLevel="1">
      <c r="A221" s="932"/>
      <c r="B221" s="1086"/>
      <c r="C221" s="1095"/>
      <c r="D221" s="1091"/>
      <c r="E221" s="1091"/>
      <c r="F221" s="1093"/>
      <c r="G221" s="98"/>
      <c r="H221" s="839"/>
      <c r="I221" s="1091"/>
      <c r="J221" s="1084"/>
      <c r="K221" s="1084"/>
      <c r="L221" s="932"/>
    </row>
    <row r="222" spans="1:12" s="106" customFormat="1" ht="15.75" hidden="1" customHeight="1" outlineLevel="1">
      <c r="A222" s="932"/>
      <c r="B222" s="1087"/>
      <c r="C222" s="1096"/>
      <c r="D222" s="1092"/>
      <c r="E222" s="1092"/>
      <c r="F222" s="1094"/>
      <c r="G222" s="103"/>
      <c r="H222" s="840"/>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839"/>
      <c r="I223" s="1091"/>
      <c r="J223" s="1083"/>
      <c r="K223" s="1083"/>
      <c r="L223" s="932"/>
    </row>
    <row r="224" spans="1:12" s="106" customFormat="1" ht="15.75" hidden="1" customHeight="1" outlineLevel="1">
      <c r="A224" s="932"/>
      <c r="B224" s="1086"/>
      <c r="C224" s="1095"/>
      <c r="D224" s="1091"/>
      <c r="E224" s="1091"/>
      <c r="F224" s="1093"/>
      <c r="G224" s="98"/>
      <c r="H224" s="839"/>
      <c r="I224" s="1091"/>
      <c r="J224" s="1084"/>
      <c r="K224" s="1084"/>
      <c r="L224" s="932"/>
    </row>
    <row r="225" spans="1:12" s="106" customFormat="1" ht="15.75" hidden="1" customHeight="1" outlineLevel="1">
      <c r="A225" s="932"/>
      <c r="B225" s="1087"/>
      <c r="C225" s="1096"/>
      <c r="D225" s="1092"/>
      <c r="E225" s="1092"/>
      <c r="F225" s="1094"/>
      <c r="G225" s="103"/>
      <c r="H225" s="840"/>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839"/>
      <c r="I226" s="1091"/>
      <c r="J226" s="1083"/>
      <c r="K226" s="1083"/>
      <c r="L226" s="932"/>
    </row>
    <row r="227" spans="1:12" s="106" customFormat="1" ht="15.75" hidden="1" customHeight="1" outlineLevel="1">
      <c r="A227" s="932"/>
      <c r="B227" s="1086"/>
      <c r="C227" s="1095"/>
      <c r="D227" s="1091"/>
      <c r="E227" s="1091"/>
      <c r="F227" s="1093"/>
      <c r="G227" s="98"/>
      <c r="H227" s="839"/>
      <c r="I227" s="1091"/>
      <c r="J227" s="1084"/>
      <c r="K227" s="1084"/>
      <c r="L227" s="932"/>
    </row>
    <row r="228" spans="1:12" s="106" customFormat="1" ht="15.75" hidden="1" customHeight="1" outlineLevel="1">
      <c r="A228" s="932"/>
      <c r="B228" s="1087"/>
      <c r="C228" s="1096"/>
      <c r="D228" s="1092"/>
      <c r="E228" s="1092"/>
      <c r="F228" s="1094"/>
      <c r="G228" s="103"/>
      <c r="H228" s="840"/>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839"/>
      <c r="I229" s="1091"/>
      <c r="J229" s="1083"/>
      <c r="K229" s="1083"/>
      <c r="L229" s="932"/>
    </row>
    <row r="230" spans="1:12" s="106" customFormat="1" ht="15.75" hidden="1" customHeight="1" outlineLevel="1">
      <c r="A230" s="932"/>
      <c r="B230" s="1086"/>
      <c r="C230" s="1095"/>
      <c r="D230" s="1091"/>
      <c r="E230" s="1091"/>
      <c r="F230" s="1093"/>
      <c r="G230" s="98"/>
      <c r="H230" s="839"/>
      <c r="I230" s="1091"/>
      <c r="J230" s="1084"/>
      <c r="K230" s="1084"/>
      <c r="L230" s="932"/>
    </row>
    <row r="231" spans="1:12" s="106" customFormat="1" ht="15.75" hidden="1" customHeight="1" outlineLevel="1">
      <c r="A231" s="932"/>
      <c r="B231" s="1087"/>
      <c r="C231" s="1096"/>
      <c r="D231" s="1092"/>
      <c r="E231" s="1092"/>
      <c r="F231" s="1094"/>
      <c r="G231" s="103"/>
      <c r="H231" s="840"/>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839"/>
      <c r="I232" s="1091"/>
      <c r="J232" s="1083"/>
      <c r="K232" s="1083"/>
      <c r="L232" s="932"/>
    </row>
    <row r="233" spans="1:12" s="106" customFormat="1" ht="15.75" hidden="1" customHeight="1" outlineLevel="1">
      <c r="A233" s="932"/>
      <c r="B233" s="1086"/>
      <c r="C233" s="1095"/>
      <c r="D233" s="1091"/>
      <c r="E233" s="1091"/>
      <c r="F233" s="1093"/>
      <c r="G233" s="98"/>
      <c r="H233" s="839"/>
      <c r="I233" s="1091"/>
      <c r="J233" s="1084"/>
      <c r="K233" s="1084"/>
      <c r="L233" s="932"/>
    </row>
    <row r="234" spans="1:12" s="106" customFormat="1" ht="15.75" hidden="1" customHeight="1" outlineLevel="1">
      <c r="A234" s="932"/>
      <c r="B234" s="1087"/>
      <c r="C234" s="1096"/>
      <c r="D234" s="1092"/>
      <c r="E234" s="1092"/>
      <c r="F234" s="1094"/>
      <c r="G234" s="103"/>
      <c r="H234" s="840"/>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839"/>
      <c r="I235" s="1091"/>
      <c r="J235" s="1083"/>
      <c r="K235" s="1083"/>
      <c r="L235" s="932"/>
    </row>
    <row r="236" spans="1:12" s="106" customFormat="1" ht="15.75" hidden="1" customHeight="1" outlineLevel="1">
      <c r="A236" s="932"/>
      <c r="B236" s="1086"/>
      <c r="C236" s="1095"/>
      <c r="D236" s="1091"/>
      <c r="E236" s="1091"/>
      <c r="F236" s="1093"/>
      <c r="G236" s="98"/>
      <c r="H236" s="839"/>
      <c r="I236" s="1091"/>
      <c r="J236" s="1084"/>
      <c r="K236" s="1084"/>
      <c r="L236" s="932"/>
    </row>
    <row r="237" spans="1:12" s="106" customFormat="1" ht="15.75" hidden="1" customHeight="1" outlineLevel="1">
      <c r="A237" s="932"/>
      <c r="B237" s="1087"/>
      <c r="C237" s="1096"/>
      <c r="D237" s="1092"/>
      <c r="E237" s="1092"/>
      <c r="F237" s="1094"/>
      <c r="G237" s="103"/>
      <c r="H237" s="840"/>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839"/>
      <c r="I238" s="1091"/>
      <c r="J238" s="1083"/>
      <c r="K238" s="1083"/>
      <c r="L238" s="932"/>
    </row>
    <row r="239" spans="1:12" s="106" customFormat="1" ht="15.75" hidden="1" customHeight="1" outlineLevel="1">
      <c r="A239" s="932"/>
      <c r="B239" s="1086"/>
      <c r="C239" s="1095"/>
      <c r="D239" s="1091"/>
      <c r="E239" s="1091"/>
      <c r="F239" s="1093"/>
      <c r="G239" s="98"/>
      <c r="H239" s="839"/>
      <c r="I239" s="1091"/>
      <c r="J239" s="1084"/>
      <c r="K239" s="1084"/>
      <c r="L239" s="932"/>
    </row>
    <row r="240" spans="1:12" s="106" customFormat="1" ht="15.75" hidden="1" customHeight="1" outlineLevel="1">
      <c r="A240" s="932"/>
      <c r="B240" s="1087"/>
      <c r="C240" s="1096"/>
      <c r="D240" s="1092"/>
      <c r="E240" s="1092"/>
      <c r="F240" s="1094"/>
      <c r="G240" s="103"/>
      <c r="H240" s="840"/>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839"/>
      <c r="I241" s="1091"/>
      <c r="J241" s="1083"/>
      <c r="K241" s="1083"/>
      <c r="L241" s="932"/>
    </row>
    <row r="242" spans="1:12" s="106" customFormat="1" ht="15.75" hidden="1" customHeight="1" outlineLevel="1">
      <c r="A242" s="932"/>
      <c r="B242" s="1086"/>
      <c r="C242" s="1095"/>
      <c r="D242" s="1091"/>
      <c r="E242" s="1091"/>
      <c r="F242" s="1093"/>
      <c r="G242" s="98"/>
      <c r="H242" s="839"/>
      <c r="I242" s="1091"/>
      <c r="J242" s="1084"/>
      <c r="K242" s="1084"/>
      <c r="L242" s="932"/>
    </row>
    <row r="243" spans="1:12" s="106" customFormat="1" ht="15.75" hidden="1" customHeight="1" outlineLevel="1">
      <c r="A243" s="932"/>
      <c r="B243" s="1087"/>
      <c r="C243" s="1096"/>
      <c r="D243" s="1092"/>
      <c r="E243" s="1092"/>
      <c r="F243" s="1094"/>
      <c r="G243" s="103"/>
      <c r="H243" s="840"/>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839"/>
      <c r="I244" s="1091"/>
      <c r="J244" s="1083"/>
      <c r="K244" s="1083"/>
      <c r="L244" s="932"/>
    </row>
    <row r="245" spans="1:12" s="106" customFormat="1" ht="15.75" hidden="1" customHeight="1" outlineLevel="1">
      <c r="A245" s="932"/>
      <c r="B245" s="1086"/>
      <c r="C245" s="1095"/>
      <c r="D245" s="1091"/>
      <c r="E245" s="1091"/>
      <c r="F245" s="1093"/>
      <c r="G245" s="98"/>
      <c r="H245" s="839"/>
      <c r="I245" s="1091"/>
      <c r="J245" s="1084"/>
      <c r="K245" s="1084"/>
      <c r="L245" s="932"/>
    </row>
    <row r="246" spans="1:12" s="106" customFormat="1" ht="15.75" hidden="1" customHeight="1" outlineLevel="1">
      <c r="A246" s="932"/>
      <c r="B246" s="1087"/>
      <c r="C246" s="1096"/>
      <c r="D246" s="1092"/>
      <c r="E246" s="1092"/>
      <c r="F246" s="1094"/>
      <c r="G246" s="103"/>
      <c r="H246" s="840"/>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839"/>
      <c r="I247" s="1091"/>
      <c r="J247" s="1083"/>
      <c r="K247" s="1083"/>
      <c r="L247" s="932"/>
    </row>
    <row r="248" spans="1:12" s="106" customFormat="1" ht="15.75" hidden="1" customHeight="1" outlineLevel="1">
      <c r="A248" s="932"/>
      <c r="B248" s="1086"/>
      <c r="C248" s="1095"/>
      <c r="D248" s="1091"/>
      <c r="E248" s="1091"/>
      <c r="F248" s="1093"/>
      <c r="G248" s="98"/>
      <c r="H248" s="839"/>
      <c r="I248" s="1091"/>
      <c r="J248" s="1084"/>
      <c r="K248" s="1084"/>
      <c r="L248" s="932"/>
    </row>
    <row r="249" spans="1:12" s="106" customFormat="1" ht="15.75" hidden="1" customHeight="1" outlineLevel="1">
      <c r="A249" s="932"/>
      <c r="B249" s="1087"/>
      <c r="C249" s="1096"/>
      <c r="D249" s="1092"/>
      <c r="E249" s="1092"/>
      <c r="F249" s="1094"/>
      <c r="G249" s="103"/>
      <c r="H249" s="840"/>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839"/>
      <c r="I250" s="1091"/>
      <c r="J250" s="1083"/>
      <c r="K250" s="1083"/>
      <c r="L250" s="932"/>
    </row>
    <row r="251" spans="1:12" s="106" customFormat="1" ht="15.75" hidden="1" customHeight="1" outlineLevel="1">
      <c r="A251" s="932"/>
      <c r="B251" s="1086"/>
      <c r="C251" s="1095"/>
      <c r="D251" s="1091"/>
      <c r="E251" s="1091"/>
      <c r="F251" s="1093"/>
      <c r="G251" s="98"/>
      <c r="H251" s="839"/>
      <c r="I251" s="1091"/>
      <c r="J251" s="1084"/>
      <c r="K251" s="1084"/>
      <c r="L251" s="932"/>
    </row>
    <row r="252" spans="1:12" s="106" customFormat="1" ht="15.75" hidden="1" customHeight="1" outlineLevel="1">
      <c r="A252" s="932"/>
      <c r="B252" s="1087"/>
      <c r="C252" s="1096"/>
      <c r="D252" s="1092"/>
      <c r="E252" s="1092"/>
      <c r="F252" s="1094"/>
      <c r="G252" s="103"/>
      <c r="H252" s="840"/>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839"/>
      <c r="I253" s="1091"/>
      <c r="J253" s="1083"/>
      <c r="K253" s="1083"/>
      <c r="L253" s="932"/>
    </row>
    <row r="254" spans="1:12" s="106" customFormat="1" ht="15.75" hidden="1" customHeight="1" outlineLevel="1">
      <c r="A254" s="932"/>
      <c r="B254" s="1086"/>
      <c r="C254" s="1095"/>
      <c r="D254" s="1091"/>
      <c r="E254" s="1091"/>
      <c r="F254" s="1093"/>
      <c r="G254" s="98"/>
      <c r="H254" s="839"/>
      <c r="I254" s="1091"/>
      <c r="J254" s="1084"/>
      <c r="K254" s="1084"/>
      <c r="L254" s="932"/>
    </row>
    <row r="255" spans="1:12" s="106" customFormat="1" ht="15.75" hidden="1" customHeight="1" outlineLevel="1">
      <c r="A255" s="932"/>
      <c r="B255" s="1087"/>
      <c r="C255" s="1096"/>
      <c r="D255" s="1092"/>
      <c r="E255" s="1092"/>
      <c r="F255" s="1094"/>
      <c r="G255" s="103"/>
      <c r="H255" s="840"/>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839"/>
      <c r="I256" s="1091"/>
      <c r="J256" s="1083"/>
      <c r="K256" s="1083"/>
      <c r="L256" s="932"/>
    </row>
    <row r="257" spans="1:12" s="106" customFormat="1" ht="15.75" hidden="1" customHeight="1" outlineLevel="1">
      <c r="A257" s="932"/>
      <c r="B257" s="1086"/>
      <c r="C257" s="1095"/>
      <c r="D257" s="1091"/>
      <c r="E257" s="1091"/>
      <c r="F257" s="1093"/>
      <c r="G257" s="98"/>
      <c r="H257" s="839"/>
      <c r="I257" s="1091"/>
      <c r="J257" s="1084"/>
      <c r="K257" s="1084"/>
      <c r="L257" s="932"/>
    </row>
    <row r="258" spans="1:12" s="106" customFormat="1" ht="15.75" hidden="1" customHeight="1" outlineLevel="1">
      <c r="A258" s="932"/>
      <c r="B258" s="1087"/>
      <c r="C258" s="1096"/>
      <c r="D258" s="1092"/>
      <c r="E258" s="1092"/>
      <c r="F258" s="1094"/>
      <c r="G258" s="103"/>
      <c r="H258" s="840"/>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839"/>
      <c r="I259" s="1091"/>
      <c r="J259" s="1083"/>
      <c r="K259" s="1083"/>
      <c r="L259" s="932"/>
    </row>
    <row r="260" spans="1:12" s="106" customFormat="1" ht="15.75" hidden="1" customHeight="1" outlineLevel="1">
      <c r="A260" s="932"/>
      <c r="B260" s="1086"/>
      <c r="C260" s="1095"/>
      <c r="D260" s="1091"/>
      <c r="E260" s="1091"/>
      <c r="F260" s="1093"/>
      <c r="G260" s="98"/>
      <c r="H260" s="839"/>
      <c r="I260" s="1091"/>
      <c r="J260" s="1084"/>
      <c r="K260" s="1084"/>
      <c r="L260" s="932"/>
    </row>
    <row r="261" spans="1:12" s="106" customFormat="1" ht="15.75" hidden="1" customHeight="1" outlineLevel="1">
      <c r="A261" s="932"/>
      <c r="B261" s="1087"/>
      <c r="C261" s="1096"/>
      <c r="D261" s="1092"/>
      <c r="E261" s="1092"/>
      <c r="F261" s="1094"/>
      <c r="G261" s="103"/>
      <c r="H261" s="840"/>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839"/>
      <c r="I262" s="1091"/>
      <c r="J262" s="1083"/>
      <c r="K262" s="1083"/>
      <c r="L262" s="932"/>
    </row>
    <row r="263" spans="1:12" s="106" customFormat="1" ht="15.75" hidden="1" customHeight="1" outlineLevel="1">
      <c r="A263" s="932"/>
      <c r="B263" s="1086"/>
      <c r="C263" s="1095"/>
      <c r="D263" s="1091"/>
      <c r="E263" s="1091"/>
      <c r="F263" s="1093"/>
      <c r="G263" s="98"/>
      <c r="H263" s="839"/>
      <c r="I263" s="1091"/>
      <c r="J263" s="1084"/>
      <c r="K263" s="1084"/>
      <c r="L263" s="932"/>
    </row>
    <row r="264" spans="1:12" s="106" customFormat="1" ht="15.75" hidden="1" customHeight="1" outlineLevel="1">
      <c r="A264" s="932"/>
      <c r="B264" s="1087"/>
      <c r="C264" s="1096"/>
      <c r="D264" s="1092"/>
      <c r="E264" s="1092"/>
      <c r="F264" s="1094"/>
      <c r="G264" s="103"/>
      <c r="H264" s="840"/>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839"/>
      <c r="I265" s="1091"/>
      <c r="J265" s="1083"/>
      <c r="K265" s="1083"/>
      <c r="L265" s="932"/>
    </row>
    <row r="266" spans="1:12" s="106" customFormat="1" ht="15.75" hidden="1" customHeight="1" outlineLevel="1">
      <c r="A266" s="932"/>
      <c r="B266" s="1086"/>
      <c r="C266" s="1095"/>
      <c r="D266" s="1091"/>
      <c r="E266" s="1091"/>
      <c r="F266" s="1093"/>
      <c r="G266" s="98"/>
      <c r="H266" s="839"/>
      <c r="I266" s="1091"/>
      <c r="J266" s="1084"/>
      <c r="K266" s="1084"/>
      <c r="L266" s="932"/>
    </row>
    <row r="267" spans="1:12" s="106" customFormat="1" ht="15.75" hidden="1" customHeight="1" outlineLevel="1">
      <c r="A267" s="932"/>
      <c r="B267" s="1087"/>
      <c r="C267" s="1096"/>
      <c r="D267" s="1092"/>
      <c r="E267" s="1092"/>
      <c r="F267" s="1094"/>
      <c r="G267" s="103"/>
      <c r="H267" s="840"/>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839"/>
      <c r="I268" s="1091"/>
      <c r="J268" s="1083"/>
      <c r="K268" s="1083"/>
      <c r="L268" s="932"/>
    </row>
    <row r="269" spans="1:12" s="106" customFormat="1" ht="15.75" hidden="1" customHeight="1" outlineLevel="1">
      <c r="A269" s="932"/>
      <c r="B269" s="1086"/>
      <c r="C269" s="1095"/>
      <c r="D269" s="1091"/>
      <c r="E269" s="1091"/>
      <c r="F269" s="1093"/>
      <c r="G269" s="98"/>
      <c r="H269" s="839"/>
      <c r="I269" s="1091"/>
      <c r="J269" s="1084"/>
      <c r="K269" s="1084"/>
      <c r="L269" s="932"/>
    </row>
    <row r="270" spans="1:12" s="106" customFormat="1" ht="15.75" hidden="1" customHeight="1" outlineLevel="1">
      <c r="A270" s="932"/>
      <c r="B270" s="1087"/>
      <c r="C270" s="1096"/>
      <c r="D270" s="1092"/>
      <c r="E270" s="1092"/>
      <c r="F270" s="1094"/>
      <c r="G270" s="103"/>
      <c r="H270" s="840"/>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839"/>
      <c r="I271" s="1091"/>
      <c r="J271" s="1083"/>
      <c r="K271" s="1083"/>
      <c r="L271" s="932"/>
    </row>
    <row r="272" spans="1:12" s="106" customFormat="1" ht="15.75" hidden="1" customHeight="1" outlineLevel="1">
      <c r="A272" s="932"/>
      <c r="B272" s="1086"/>
      <c r="C272" s="1095"/>
      <c r="D272" s="1091"/>
      <c r="E272" s="1091"/>
      <c r="F272" s="1093"/>
      <c r="G272" s="98"/>
      <c r="H272" s="839"/>
      <c r="I272" s="1091"/>
      <c r="J272" s="1084"/>
      <c r="K272" s="1084"/>
      <c r="L272" s="932"/>
    </row>
    <row r="273" spans="1:12" s="106" customFormat="1" ht="15.75" hidden="1" customHeight="1" outlineLevel="1">
      <c r="A273" s="932"/>
      <c r="B273" s="1087"/>
      <c r="C273" s="1096"/>
      <c r="D273" s="1092"/>
      <c r="E273" s="1092"/>
      <c r="F273" s="1094"/>
      <c r="G273" s="103"/>
      <c r="H273" s="840"/>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839"/>
      <c r="I274" s="1091"/>
      <c r="J274" s="1083"/>
      <c r="K274" s="1083"/>
      <c r="L274" s="932"/>
    </row>
    <row r="275" spans="1:12" s="106" customFormat="1" ht="15.75" hidden="1" customHeight="1" outlineLevel="1">
      <c r="A275" s="932"/>
      <c r="B275" s="1086"/>
      <c r="C275" s="1095"/>
      <c r="D275" s="1091"/>
      <c r="E275" s="1091"/>
      <c r="F275" s="1093"/>
      <c r="G275" s="98"/>
      <c r="H275" s="839"/>
      <c r="I275" s="1091"/>
      <c r="J275" s="1084"/>
      <c r="K275" s="1084"/>
      <c r="L275" s="932"/>
    </row>
    <row r="276" spans="1:12" s="106" customFormat="1" ht="15.75" hidden="1" customHeight="1" outlineLevel="1">
      <c r="A276" s="932"/>
      <c r="B276" s="1087"/>
      <c r="C276" s="1096"/>
      <c r="D276" s="1092"/>
      <c r="E276" s="1092"/>
      <c r="F276" s="1094"/>
      <c r="G276" s="103"/>
      <c r="H276" s="840"/>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839"/>
      <c r="I277" s="1091"/>
      <c r="J277" s="1083"/>
      <c r="K277" s="1083"/>
      <c r="L277" s="932"/>
    </row>
    <row r="278" spans="1:12" s="106" customFormat="1" ht="15.75" hidden="1" customHeight="1" outlineLevel="1">
      <c r="A278" s="932"/>
      <c r="B278" s="1086"/>
      <c r="C278" s="1095"/>
      <c r="D278" s="1091"/>
      <c r="E278" s="1091"/>
      <c r="F278" s="1093"/>
      <c r="G278" s="98"/>
      <c r="H278" s="839"/>
      <c r="I278" s="1091"/>
      <c r="J278" s="1084"/>
      <c r="K278" s="1084"/>
      <c r="L278" s="932"/>
    </row>
    <row r="279" spans="1:12" s="106" customFormat="1" ht="15.75" hidden="1" customHeight="1" outlineLevel="1">
      <c r="A279" s="932"/>
      <c r="B279" s="1087"/>
      <c r="C279" s="1096"/>
      <c r="D279" s="1092"/>
      <c r="E279" s="1092"/>
      <c r="F279" s="1094"/>
      <c r="G279" s="103"/>
      <c r="H279" s="840"/>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839"/>
      <c r="I280" s="1091"/>
      <c r="J280" s="1083"/>
      <c r="K280" s="1083"/>
      <c r="L280" s="932"/>
    </row>
    <row r="281" spans="1:12" s="106" customFormat="1" ht="15.75" hidden="1" customHeight="1" outlineLevel="1">
      <c r="A281" s="932"/>
      <c r="B281" s="1086"/>
      <c r="C281" s="1095"/>
      <c r="D281" s="1091"/>
      <c r="E281" s="1091"/>
      <c r="F281" s="1093"/>
      <c r="G281" s="98"/>
      <c r="H281" s="839"/>
      <c r="I281" s="1091"/>
      <c r="J281" s="1084"/>
      <c r="K281" s="1084"/>
      <c r="L281" s="932"/>
    </row>
    <row r="282" spans="1:12" s="106" customFormat="1" ht="15.75" hidden="1" customHeight="1" outlineLevel="1">
      <c r="A282" s="932"/>
      <c r="B282" s="1087"/>
      <c r="C282" s="1096"/>
      <c r="D282" s="1092"/>
      <c r="E282" s="1092"/>
      <c r="F282" s="1094"/>
      <c r="G282" s="103"/>
      <c r="H282" s="840"/>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839"/>
      <c r="I283" s="1091"/>
      <c r="J283" s="1083"/>
      <c r="K283" s="1083"/>
      <c r="L283" s="932"/>
    </row>
    <row r="284" spans="1:12" s="106" customFormat="1" ht="15.75" hidden="1" customHeight="1" outlineLevel="1">
      <c r="A284" s="932"/>
      <c r="B284" s="1086"/>
      <c r="C284" s="1095"/>
      <c r="D284" s="1091"/>
      <c r="E284" s="1091"/>
      <c r="F284" s="1093"/>
      <c r="G284" s="98"/>
      <c r="H284" s="839"/>
      <c r="I284" s="1091"/>
      <c r="J284" s="1084"/>
      <c r="K284" s="1084"/>
      <c r="L284" s="932"/>
    </row>
    <row r="285" spans="1:12" s="106" customFormat="1" ht="15.75" hidden="1" customHeight="1" outlineLevel="1">
      <c r="A285" s="932"/>
      <c r="B285" s="1087"/>
      <c r="C285" s="1096"/>
      <c r="D285" s="1092"/>
      <c r="E285" s="1092"/>
      <c r="F285" s="1094"/>
      <c r="G285" s="103"/>
      <c r="H285" s="840"/>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839"/>
      <c r="I286" s="1091"/>
      <c r="J286" s="1083"/>
      <c r="K286" s="1083"/>
      <c r="L286" s="932"/>
    </row>
    <row r="287" spans="1:12" s="106" customFormat="1" ht="15.75" hidden="1" customHeight="1" outlineLevel="1">
      <c r="A287" s="932"/>
      <c r="B287" s="1086"/>
      <c r="C287" s="1095"/>
      <c r="D287" s="1091"/>
      <c r="E287" s="1091"/>
      <c r="F287" s="1093"/>
      <c r="G287" s="98"/>
      <c r="H287" s="839"/>
      <c r="I287" s="1091"/>
      <c r="J287" s="1084"/>
      <c r="K287" s="1084"/>
      <c r="L287" s="932"/>
    </row>
    <row r="288" spans="1:12" s="106" customFormat="1" ht="15.75" hidden="1" customHeight="1" outlineLevel="1">
      <c r="A288" s="932"/>
      <c r="B288" s="1087"/>
      <c r="C288" s="1096"/>
      <c r="D288" s="1092"/>
      <c r="E288" s="1092"/>
      <c r="F288" s="1094"/>
      <c r="G288" s="103"/>
      <c r="H288" s="840"/>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839"/>
      <c r="I289" s="1091"/>
      <c r="J289" s="1083"/>
      <c r="K289" s="1083"/>
      <c r="L289" s="932"/>
    </row>
    <row r="290" spans="1:12" s="106" customFormat="1" ht="15.75" hidden="1" customHeight="1" outlineLevel="1">
      <c r="A290" s="932"/>
      <c r="B290" s="1086"/>
      <c r="C290" s="1095"/>
      <c r="D290" s="1091"/>
      <c r="E290" s="1091"/>
      <c r="F290" s="1093"/>
      <c r="G290" s="98"/>
      <c r="H290" s="839"/>
      <c r="I290" s="1091"/>
      <c r="J290" s="1084"/>
      <c r="K290" s="1084"/>
      <c r="L290" s="932"/>
    </row>
    <row r="291" spans="1:12" s="106" customFormat="1" ht="15.75" hidden="1" customHeight="1" outlineLevel="1">
      <c r="A291" s="932"/>
      <c r="B291" s="1087"/>
      <c r="C291" s="1096"/>
      <c r="D291" s="1092"/>
      <c r="E291" s="1092"/>
      <c r="F291" s="1094"/>
      <c r="G291" s="103"/>
      <c r="H291" s="840"/>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839"/>
      <c r="I292" s="1091"/>
      <c r="J292" s="1083"/>
      <c r="K292" s="1083"/>
      <c r="L292" s="932"/>
    </row>
    <row r="293" spans="1:12" s="106" customFormat="1" ht="15.75" hidden="1" customHeight="1" outlineLevel="1">
      <c r="A293" s="932"/>
      <c r="B293" s="1086"/>
      <c r="C293" s="1095"/>
      <c r="D293" s="1091"/>
      <c r="E293" s="1091"/>
      <c r="F293" s="1093"/>
      <c r="G293" s="98"/>
      <c r="H293" s="839"/>
      <c r="I293" s="1091"/>
      <c r="J293" s="1084"/>
      <c r="K293" s="1084"/>
      <c r="L293" s="932"/>
    </row>
    <row r="294" spans="1:12" s="106" customFormat="1" ht="15.75" hidden="1" customHeight="1" outlineLevel="1">
      <c r="A294" s="932"/>
      <c r="B294" s="1087"/>
      <c r="C294" s="1096"/>
      <c r="D294" s="1092"/>
      <c r="E294" s="1092"/>
      <c r="F294" s="1094"/>
      <c r="G294" s="103"/>
      <c r="H294" s="840"/>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839"/>
      <c r="I295" s="1091"/>
      <c r="J295" s="1083"/>
      <c r="K295" s="1083"/>
      <c r="L295" s="932"/>
    </row>
    <row r="296" spans="1:12" s="106" customFormat="1" ht="15.75" hidden="1" customHeight="1" outlineLevel="1">
      <c r="A296" s="932"/>
      <c r="B296" s="1086"/>
      <c r="C296" s="1095"/>
      <c r="D296" s="1091"/>
      <c r="E296" s="1091"/>
      <c r="F296" s="1093"/>
      <c r="G296" s="98"/>
      <c r="H296" s="839"/>
      <c r="I296" s="1091"/>
      <c r="J296" s="1084"/>
      <c r="K296" s="1084"/>
      <c r="L296" s="932"/>
    </row>
    <row r="297" spans="1:12" s="106" customFormat="1" ht="15.75" hidden="1" customHeight="1" outlineLevel="1">
      <c r="A297" s="932"/>
      <c r="B297" s="1087"/>
      <c r="C297" s="1096"/>
      <c r="D297" s="1092"/>
      <c r="E297" s="1092"/>
      <c r="F297" s="1094"/>
      <c r="G297" s="103"/>
      <c r="H297" s="840"/>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839"/>
      <c r="I298" s="1091"/>
      <c r="J298" s="1083"/>
      <c r="K298" s="1083"/>
      <c r="L298" s="932"/>
    </row>
    <row r="299" spans="1:12" s="106" customFormat="1" ht="15.75" hidden="1" customHeight="1" outlineLevel="1">
      <c r="A299" s="932"/>
      <c r="B299" s="1086"/>
      <c r="C299" s="1095"/>
      <c r="D299" s="1091"/>
      <c r="E299" s="1091"/>
      <c r="F299" s="1093"/>
      <c r="G299" s="98"/>
      <c r="H299" s="839"/>
      <c r="I299" s="1091"/>
      <c r="J299" s="1084"/>
      <c r="K299" s="1084"/>
      <c r="L299" s="932"/>
    </row>
    <row r="300" spans="1:12" s="106" customFormat="1" ht="15.75" hidden="1" customHeight="1" outlineLevel="1">
      <c r="A300" s="932"/>
      <c r="B300" s="1087"/>
      <c r="C300" s="1096"/>
      <c r="D300" s="1092"/>
      <c r="E300" s="1092"/>
      <c r="F300" s="1094"/>
      <c r="G300" s="103"/>
      <c r="H300" s="840"/>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839"/>
      <c r="I301" s="1091"/>
      <c r="J301" s="1083"/>
      <c r="K301" s="1083"/>
      <c r="L301" s="932"/>
    </row>
    <row r="302" spans="1:12" s="106" customFormat="1" ht="15.75" hidden="1" customHeight="1" outlineLevel="1">
      <c r="A302" s="932"/>
      <c r="B302" s="1086"/>
      <c r="C302" s="1095"/>
      <c r="D302" s="1091"/>
      <c r="E302" s="1091"/>
      <c r="F302" s="1093"/>
      <c r="G302" s="98"/>
      <c r="H302" s="839"/>
      <c r="I302" s="1091"/>
      <c r="J302" s="1084"/>
      <c r="K302" s="1084"/>
      <c r="L302" s="932"/>
    </row>
    <row r="303" spans="1:12" s="106" customFormat="1" ht="15.75" hidden="1" customHeight="1" outlineLevel="1">
      <c r="A303" s="932"/>
      <c r="B303" s="1087"/>
      <c r="C303" s="1096"/>
      <c r="D303" s="1092"/>
      <c r="E303" s="1092"/>
      <c r="F303" s="1094"/>
      <c r="G303" s="103"/>
      <c r="H303" s="840"/>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839"/>
      <c r="I304" s="1091"/>
      <c r="J304" s="1083"/>
      <c r="K304" s="1083"/>
      <c r="L304" s="932"/>
    </row>
    <row r="305" spans="1:12" s="106" customFormat="1" ht="15.75" hidden="1" customHeight="1" outlineLevel="1">
      <c r="A305" s="932"/>
      <c r="B305" s="1086"/>
      <c r="C305" s="1095"/>
      <c r="D305" s="1091"/>
      <c r="E305" s="1091"/>
      <c r="F305" s="1093"/>
      <c r="G305" s="98"/>
      <c r="H305" s="839"/>
      <c r="I305" s="1091"/>
      <c r="J305" s="1084"/>
      <c r="K305" s="1084"/>
      <c r="L305" s="932"/>
    </row>
    <row r="306" spans="1:12" s="106" customFormat="1" ht="15.75" hidden="1" customHeight="1" outlineLevel="1">
      <c r="A306" s="932"/>
      <c r="B306" s="1087"/>
      <c r="C306" s="1096"/>
      <c r="D306" s="1092"/>
      <c r="E306" s="1092"/>
      <c r="F306" s="1094"/>
      <c r="G306" s="103"/>
      <c r="H306" s="840"/>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839"/>
      <c r="I307" s="1091"/>
      <c r="J307" s="1083"/>
      <c r="K307" s="1083"/>
      <c r="L307" s="932"/>
    </row>
    <row r="308" spans="1:12" s="106" customFormat="1" ht="15.75" hidden="1" customHeight="1" outlineLevel="1">
      <c r="A308" s="932"/>
      <c r="B308" s="1086"/>
      <c r="C308" s="1095"/>
      <c r="D308" s="1091"/>
      <c r="E308" s="1091"/>
      <c r="F308" s="1093"/>
      <c r="G308" s="98"/>
      <c r="H308" s="839"/>
      <c r="I308" s="1091"/>
      <c r="J308" s="1084"/>
      <c r="K308" s="1084"/>
      <c r="L308" s="932"/>
    </row>
    <row r="309" spans="1:12" s="106" customFormat="1" ht="15.75" hidden="1" customHeight="1" outlineLevel="1">
      <c r="A309" s="932"/>
      <c r="B309" s="1087"/>
      <c r="C309" s="1096"/>
      <c r="D309" s="1092"/>
      <c r="E309" s="1092"/>
      <c r="F309" s="1094"/>
      <c r="G309" s="103"/>
      <c r="H309" s="840"/>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839"/>
      <c r="I310" s="1091"/>
      <c r="J310" s="1083"/>
      <c r="K310" s="1083"/>
      <c r="L310" s="932"/>
    </row>
    <row r="311" spans="1:12" s="106" customFormat="1" ht="15.75" hidden="1" customHeight="1" outlineLevel="1">
      <c r="A311" s="932"/>
      <c r="B311" s="1086"/>
      <c r="C311" s="1095"/>
      <c r="D311" s="1091"/>
      <c r="E311" s="1091"/>
      <c r="F311" s="1093"/>
      <c r="G311" s="98"/>
      <c r="H311" s="839"/>
      <c r="I311" s="1091"/>
      <c r="J311" s="1084"/>
      <c r="K311" s="1084"/>
      <c r="L311" s="932"/>
    </row>
    <row r="312" spans="1:12" s="106" customFormat="1" ht="15.75" hidden="1" customHeight="1" outlineLevel="1">
      <c r="A312" s="932"/>
      <c r="B312" s="1087"/>
      <c r="C312" s="1096"/>
      <c r="D312" s="1092"/>
      <c r="E312" s="1092"/>
      <c r="F312" s="1094"/>
      <c r="G312" s="103"/>
      <c r="H312" s="840"/>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839"/>
      <c r="I313" s="1091"/>
      <c r="J313" s="1083"/>
      <c r="K313" s="1083"/>
      <c r="L313" s="932"/>
    </row>
    <row r="314" spans="1:12" s="106" customFormat="1" ht="15.75" hidden="1" customHeight="1" outlineLevel="1">
      <c r="A314" s="932"/>
      <c r="B314" s="1086"/>
      <c r="C314" s="1095"/>
      <c r="D314" s="1091"/>
      <c r="E314" s="1091"/>
      <c r="F314" s="1093"/>
      <c r="G314" s="98"/>
      <c r="H314" s="839"/>
      <c r="I314" s="1091"/>
      <c r="J314" s="1084"/>
      <c r="K314" s="1084"/>
      <c r="L314" s="932"/>
    </row>
    <row r="315" spans="1:12" s="106" customFormat="1" ht="15.75" hidden="1" customHeight="1" outlineLevel="1">
      <c r="A315" s="932"/>
      <c r="B315" s="1087"/>
      <c r="C315" s="1096"/>
      <c r="D315" s="1092"/>
      <c r="E315" s="1092"/>
      <c r="F315" s="1094"/>
      <c r="G315" s="103"/>
      <c r="H315" s="840"/>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839"/>
      <c r="I316" s="1091"/>
      <c r="J316" s="1083"/>
      <c r="K316" s="1083"/>
      <c r="L316" s="932"/>
    </row>
    <row r="317" spans="1:12" s="106" customFormat="1" ht="15.75" hidden="1" customHeight="1" outlineLevel="1">
      <c r="A317" s="932"/>
      <c r="B317" s="1086"/>
      <c r="C317" s="1095"/>
      <c r="D317" s="1091"/>
      <c r="E317" s="1091"/>
      <c r="F317" s="1093"/>
      <c r="G317" s="98"/>
      <c r="H317" s="839"/>
      <c r="I317" s="1091"/>
      <c r="J317" s="1084"/>
      <c r="K317" s="1084"/>
      <c r="L317" s="932"/>
    </row>
    <row r="318" spans="1:12" s="106" customFormat="1" ht="15.75" hidden="1" customHeight="1" outlineLevel="1">
      <c r="A318" s="932"/>
      <c r="B318" s="1087"/>
      <c r="C318" s="1096"/>
      <c r="D318" s="1092"/>
      <c r="E318" s="1092"/>
      <c r="F318" s="1094"/>
      <c r="G318" s="103"/>
      <c r="H318" s="840"/>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839"/>
      <c r="I319" s="1091"/>
      <c r="J319" s="1083"/>
      <c r="K319" s="1083"/>
      <c r="L319" s="932"/>
    </row>
    <row r="320" spans="1:12" s="106" customFormat="1" ht="15.75" hidden="1" customHeight="1" outlineLevel="1">
      <c r="A320" s="932"/>
      <c r="B320" s="1086"/>
      <c r="C320" s="1095"/>
      <c r="D320" s="1091"/>
      <c r="E320" s="1091"/>
      <c r="F320" s="1093"/>
      <c r="G320" s="98"/>
      <c r="H320" s="839"/>
      <c r="I320" s="1091"/>
      <c r="J320" s="1084"/>
      <c r="K320" s="1084"/>
      <c r="L320" s="932"/>
    </row>
    <row r="321" spans="1:12" s="106" customFormat="1" ht="15.75" hidden="1" customHeight="1" outlineLevel="1">
      <c r="A321" s="932"/>
      <c r="B321" s="1087"/>
      <c r="C321" s="1096"/>
      <c r="D321" s="1092"/>
      <c r="E321" s="1092"/>
      <c r="F321" s="1094"/>
      <c r="G321" s="103"/>
      <c r="H321" s="840"/>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839"/>
      <c r="I322" s="1091"/>
      <c r="J322" s="1083"/>
      <c r="K322" s="1083"/>
      <c r="L322" s="932"/>
    </row>
    <row r="323" spans="1:12" s="106" customFormat="1" ht="15.75" hidden="1" customHeight="1" outlineLevel="1">
      <c r="A323" s="932"/>
      <c r="B323" s="1086"/>
      <c r="C323" s="1095"/>
      <c r="D323" s="1091"/>
      <c r="E323" s="1091"/>
      <c r="F323" s="1093"/>
      <c r="G323" s="98"/>
      <c r="H323" s="839"/>
      <c r="I323" s="1091"/>
      <c r="J323" s="1084"/>
      <c r="K323" s="1084"/>
      <c r="L323" s="932"/>
    </row>
    <row r="324" spans="1:12" s="106" customFormat="1" ht="15.75" hidden="1" customHeight="1" outlineLevel="1">
      <c r="A324" s="932"/>
      <c r="B324" s="1087"/>
      <c r="C324" s="1096"/>
      <c r="D324" s="1092"/>
      <c r="E324" s="1092"/>
      <c r="F324" s="1094"/>
      <c r="G324" s="103"/>
      <c r="H324" s="840"/>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839"/>
      <c r="I325" s="1091"/>
      <c r="J325" s="1083"/>
      <c r="K325" s="1083"/>
      <c r="L325" s="932"/>
    </row>
    <row r="326" spans="1:12" s="106" customFormat="1" ht="15.75" hidden="1" customHeight="1" outlineLevel="1">
      <c r="A326" s="932"/>
      <c r="B326" s="1086"/>
      <c r="C326" s="1095"/>
      <c r="D326" s="1091"/>
      <c r="E326" s="1091"/>
      <c r="F326" s="1093"/>
      <c r="G326" s="98"/>
      <c r="H326" s="839"/>
      <c r="I326" s="1091"/>
      <c r="J326" s="1084"/>
      <c r="K326" s="1084"/>
      <c r="L326" s="932"/>
    </row>
    <row r="327" spans="1:12" s="106" customFormat="1" ht="15.75" hidden="1" customHeight="1" outlineLevel="1">
      <c r="A327" s="932"/>
      <c r="B327" s="1087"/>
      <c r="C327" s="1096"/>
      <c r="D327" s="1092"/>
      <c r="E327" s="1092"/>
      <c r="F327" s="1094"/>
      <c r="G327" s="103"/>
      <c r="H327" s="840"/>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839"/>
      <c r="I328" s="1091"/>
      <c r="J328" s="1083"/>
      <c r="K328" s="1083"/>
      <c r="L328" s="932"/>
    </row>
    <row r="329" spans="1:12" s="106" customFormat="1" ht="15.75" hidden="1" customHeight="1" outlineLevel="1">
      <c r="A329" s="932"/>
      <c r="B329" s="1086"/>
      <c r="C329" s="1095"/>
      <c r="D329" s="1091"/>
      <c r="E329" s="1091"/>
      <c r="F329" s="1093"/>
      <c r="G329" s="98"/>
      <c r="H329" s="839"/>
      <c r="I329" s="1091"/>
      <c r="J329" s="1084"/>
      <c r="K329" s="1084"/>
      <c r="L329" s="932"/>
    </row>
    <row r="330" spans="1:12" s="106" customFormat="1" ht="15.75" hidden="1" customHeight="1" outlineLevel="1">
      <c r="A330" s="932"/>
      <c r="B330" s="1087"/>
      <c r="C330" s="1096"/>
      <c r="D330" s="1092"/>
      <c r="E330" s="1092"/>
      <c r="F330" s="1094"/>
      <c r="G330" s="103"/>
      <c r="H330" s="840"/>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839"/>
      <c r="I331" s="1091"/>
      <c r="J331" s="1083"/>
      <c r="K331" s="1083"/>
      <c r="L331" s="932"/>
    </row>
    <row r="332" spans="1:12" s="106" customFormat="1" ht="15.75" hidden="1" customHeight="1" outlineLevel="1">
      <c r="A332" s="932"/>
      <c r="B332" s="1086"/>
      <c r="C332" s="1095"/>
      <c r="D332" s="1091"/>
      <c r="E332" s="1091"/>
      <c r="F332" s="1093"/>
      <c r="G332" s="98"/>
      <c r="H332" s="839"/>
      <c r="I332" s="1091"/>
      <c r="J332" s="1084"/>
      <c r="K332" s="1084"/>
      <c r="L332" s="932"/>
    </row>
    <row r="333" spans="1:12" s="106" customFormat="1" ht="15.75" hidden="1" customHeight="1" outlineLevel="1">
      <c r="A333" s="932"/>
      <c r="B333" s="1087"/>
      <c r="C333" s="1096"/>
      <c r="D333" s="1092"/>
      <c r="E333" s="1092"/>
      <c r="F333" s="1094"/>
      <c r="G333" s="103"/>
      <c r="H333" s="840"/>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839"/>
      <c r="I334" s="1091"/>
      <c r="J334" s="1083"/>
      <c r="K334" s="1083"/>
      <c r="L334" s="932"/>
    </row>
    <row r="335" spans="1:12" s="106" customFormat="1" ht="15.75" hidden="1" customHeight="1" outlineLevel="1">
      <c r="A335" s="932"/>
      <c r="B335" s="1086"/>
      <c r="C335" s="1095"/>
      <c r="D335" s="1091"/>
      <c r="E335" s="1091"/>
      <c r="F335" s="1093"/>
      <c r="G335" s="98"/>
      <c r="H335" s="839"/>
      <c r="I335" s="1091"/>
      <c r="J335" s="1084"/>
      <c r="K335" s="1084"/>
      <c r="L335" s="932"/>
    </row>
    <row r="336" spans="1:12" s="106" customFormat="1" ht="15.75" hidden="1" customHeight="1" outlineLevel="1">
      <c r="A336" s="932"/>
      <c r="B336" s="1087"/>
      <c r="C336" s="1096"/>
      <c r="D336" s="1092"/>
      <c r="E336" s="1092"/>
      <c r="F336" s="1094"/>
      <c r="G336" s="103"/>
      <c r="H336" s="840"/>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839"/>
      <c r="I337" s="1091"/>
      <c r="J337" s="1083"/>
      <c r="K337" s="1083"/>
      <c r="L337" s="932"/>
    </row>
    <row r="338" spans="1:12" s="106" customFormat="1" ht="15.75" hidden="1" customHeight="1" outlineLevel="1">
      <c r="A338" s="932"/>
      <c r="B338" s="1086"/>
      <c r="C338" s="1095"/>
      <c r="D338" s="1091"/>
      <c r="E338" s="1091"/>
      <c r="F338" s="1093"/>
      <c r="G338" s="98"/>
      <c r="H338" s="839"/>
      <c r="I338" s="1091"/>
      <c r="J338" s="1084"/>
      <c r="K338" s="1084"/>
      <c r="L338" s="932"/>
    </row>
    <row r="339" spans="1:12" s="106" customFormat="1" ht="15.75" hidden="1" customHeight="1" outlineLevel="1">
      <c r="A339" s="932"/>
      <c r="B339" s="1087"/>
      <c r="C339" s="1096"/>
      <c r="D339" s="1092"/>
      <c r="E339" s="1092"/>
      <c r="F339" s="1094"/>
      <c r="G339" s="103"/>
      <c r="H339" s="840"/>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839"/>
      <c r="I340" s="1091"/>
      <c r="J340" s="1083"/>
      <c r="K340" s="1083"/>
      <c r="L340" s="932"/>
    </row>
    <row r="341" spans="1:12" s="106" customFormat="1" ht="15.75" hidden="1" customHeight="1" outlineLevel="1">
      <c r="A341" s="932"/>
      <c r="B341" s="1086"/>
      <c r="C341" s="1095"/>
      <c r="D341" s="1091"/>
      <c r="E341" s="1091"/>
      <c r="F341" s="1093"/>
      <c r="G341" s="98"/>
      <c r="H341" s="839"/>
      <c r="I341" s="1091"/>
      <c r="J341" s="1084"/>
      <c r="K341" s="1084"/>
      <c r="L341" s="932"/>
    </row>
    <row r="342" spans="1:12" s="106" customFormat="1" ht="15.75" hidden="1" customHeight="1" outlineLevel="1">
      <c r="A342" s="932"/>
      <c r="B342" s="1087"/>
      <c r="C342" s="1096"/>
      <c r="D342" s="1092"/>
      <c r="E342" s="1092"/>
      <c r="F342" s="1094"/>
      <c r="G342" s="103"/>
      <c r="H342" s="840"/>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839"/>
      <c r="I343" s="1091"/>
      <c r="J343" s="1083"/>
      <c r="K343" s="1083"/>
      <c r="L343" s="932"/>
    </row>
    <row r="344" spans="1:12" s="106" customFormat="1" ht="15.75" hidden="1" customHeight="1" outlineLevel="1">
      <c r="A344" s="932"/>
      <c r="B344" s="1086"/>
      <c r="C344" s="1095"/>
      <c r="D344" s="1091"/>
      <c r="E344" s="1091"/>
      <c r="F344" s="1093"/>
      <c r="G344" s="98"/>
      <c r="H344" s="839"/>
      <c r="I344" s="1091"/>
      <c r="J344" s="1084"/>
      <c r="K344" s="1084"/>
      <c r="L344" s="932"/>
    </row>
    <row r="345" spans="1:12" s="106" customFormat="1" ht="15.75" hidden="1" customHeight="1" outlineLevel="1">
      <c r="A345" s="932"/>
      <c r="B345" s="1087"/>
      <c r="C345" s="1096"/>
      <c r="D345" s="1092"/>
      <c r="E345" s="1092"/>
      <c r="F345" s="1094"/>
      <c r="G345" s="103"/>
      <c r="H345" s="840"/>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839"/>
      <c r="I346" s="1091"/>
      <c r="J346" s="1083"/>
      <c r="K346" s="1083"/>
      <c r="L346" s="932"/>
    </row>
    <row r="347" spans="1:12" s="106" customFormat="1" ht="15.75" hidden="1" customHeight="1" outlineLevel="1">
      <c r="A347" s="932"/>
      <c r="B347" s="1086"/>
      <c r="C347" s="1095"/>
      <c r="D347" s="1091"/>
      <c r="E347" s="1091"/>
      <c r="F347" s="1093"/>
      <c r="G347" s="98"/>
      <c r="H347" s="839"/>
      <c r="I347" s="1091"/>
      <c r="J347" s="1084"/>
      <c r="K347" s="1084"/>
      <c r="L347" s="932"/>
    </row>
    <row r="348" spans="1:12" s="106" customFormat="1" ht="15.75" hidden="1" customHeight="1" outlineLevel="1">
      <c r="A348" s="932"/>
      <c r="B348" s="1087"/>
      <c r="C348" s="1096"/>
      <c r="D348" s="1092"/>
      <c r="E348" s="1092"/>
      <c r="F348" s="1094"/>
      <c r="G348" s="103"/>
      <c r="H348" s="840"/>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839"/>
      <c r="I349" s="1091"/>
      <c r="J349" s="1083"/>
      <c r="K349" s="1083"/>
      <c r="L349" s="932"/>
    </row>
    <row r="350" spans="1:12" s="106" customFormat="1" ht="15.75" hidden="1" customHeight="1" outlineLevel="1">
      <c r="A350" s="932"/>
      <c r="B350" s="1086"/>
      <c r="C350" s="1095"/>
      <c r="D350" s="1091"/>
      <c r="E350" s="1091"/>
      <c r="F350" s="1093"/>
      <c r="G350" s="98"/>
      <c r="H350" s="839"/>
      <c r="I350" s="1091"/>
      <c r="J350" s="1084"/>
      <c r="K350" s="1084"/>
      <c r="L350" s="932"/>
    </row>
    <row r="351" spans="1:12" s="106" customFormat="1" ht="15.75" hidden="1" customHeight="1" outlineLevel="1">
      <c r="A351" s="932"/>
      <c r="B351" s="1087"/>
      <c r="C351" s="1096"/>
      <c r="D351" s="1092"/>
      <c r="E351" s="1092"/>
      <c r="F351" s="1094"/>
      <c r="G351" s="103"/>
      <c r="H351" s="840"/>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839"/>
      <c r="I352" s="1091"/>
      <c r="J352" s="1083"/>
      <c r="K352" s="1083"/>
      <c r="L352" s="932"/>
    </row>
    <row r="353" spans="1:12" s="106" customFormat="1" ht="15.75" hidden="1" customHeight="1" outlineLevel="1">
      <c r="A353" s="932"/>
      <c r="B353" s="1086"/>
      <c r="C353" s="1095"/>
      <c r="D353" s="1091"/>
      <c r="E353" s="1091"/>
      <c r="F353" s="1093"/>
      <c r="G353" s="98"/>
      <c r="H353" s="839"/>
      <c r="I353" s="1091"/>
      <c r="J353" s="1084"/>
      <c r="K353" s="1084"/>
      <c r="L353" s="932"/>
    </row>
    <row r="354" spans="1:12" s="106" customFormat="1" ht="15.75" hidden="1" customHeight="1" outlineLevel="1">
      <c r="A354" s="932"/>
      <c r="B354" s="1087"/>
      <c r="C354" s="1096"/>
      <c r="D354" s="1092"/>
      <c r="E354" s="1092"/>
      <c r="F354" s="1094"/>
      <c r="G354" s="103"/>
      <c r="H354" s="840"/>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839"/>
      <c r="I355" s="1091"/>
      <c r="J355" s="1083"/>
      <c r="K355" s="1083"/>
      <c r="L355" s="932"/>
    </row>
    <row r="356" spans="1:12" s="106" customFormat="1" ht="15.75" hidden="1" customHeight="1" outlineLevel="1">
      <c r="A356" s="932"/>
      <c r="B356" s="1086"/>
      <c r="C356" s="1095"/>
      <c r="D356" s="1091"/>
      <c r="E356" s="1091"/>
      <c r="F356" s="1093"/>
      <c r="G356" s="98"/>
      <c r="H356" s="839"/>
      <c r="I356" s="1091"/>
      <c r="J356" s="1084"/>
      <c r="K356" s="1084"/>
      <c r="L356" s="932"/>
    </row>
    <row r="357" spans="1:12" s="106" customFormat="1" ht="15.75" hidden="1" customHeight="1" outlineLevel="1">
      <c r="A357" s="932"/>
      <c r="B357" s="1087"/>
      <c r="C357" s="1096"/>
      <c r="D357" s="1092"/>
      <c r="E357" s="1092"/>
      <c r="F357" s="1094"/>
      <c r="G357" s="103"/>
      <c r="H357" s="840"/>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839"/>
      <c r="I358" s="1091"/>
      <c r="J358" s="1083"/>
      <c r="K358" s="1083"/>
      <c r="L358" s="932"/>
    </row>
    <row r="359" spans="1:12" s="106" customFormat="1" ht="15.75" hidden="1" customHeight="1" outlineLevel="1">
      <c r="A359" s="932"/>
      <c r="B359" s="1086"/>
      <c r="C359" s="1095"/>
      <c r="D359" s="1091"/>
      <c r="E359" s="1091"/>
      <c r="F359" s="1093"/>
      <c r="G359" s="98"/>
      <c r="H359" s="839"/>
      <c r="I359" s="1091"/>
      <c r="J359" s="1084"/>
      <c r="K359" s="1084"/>
      <c r="L359" s="932"/>
    </row>
    <row r="360" spans="1:12" s="106" customFormat="1" ht="15.75" hidden="1" customHeight="1" outlineLevel="1">
      <c r="A360" s="932"/>
      <c r="B360" s="1087"/>
      <c r="C360" s="1096"/>
      <c r="D360" s="1092"/>
      <c r="E360" s="1092"/>
      <c r="F360" s="1094"/>
      <c r="G360" s="103"/>
      <c r="H360" s="840"/>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839"/>
      <c r="I361" s="1091"/>
      <c r="J361" s="1083"/>
      <c r="K361" s="1083"/>
      <c r="L361" s="932"/>
    </row>
    <row r="362" spans="1:12" s="106" customFormat="1" ht="15.75" hidden="1" customHeight="1" outlineLevel="1">
      <c r="A362" s="932"/>
      <c r="B362" s="1086"/>
      <c r="C362" s="1095"/>
      <c r="D362" s="1091"/>
      <c r="E362" s="1091"/>
      <c r="F362" s="1093"/>
      <c r="G362" s="98"/>
      <c r="H362" s="839"/>
      <c r="I362" s="1091"/>
      <c r="J362" s="1084"/>
      <c r="K362" s="1084"/>
      <c r="L362" s="932"/>
    </row>
    <row r="363" spans="1:12" s="106" customFormat="1" ht="15.75" hidden="1" customHeight="1" outlineLevel="1">
      <c r="A363" s="932"/>
      <c r="B363" s="1087"/>
      <c r="C363" s="1096"/>
      <c r="D363" s="1092"/>
      <c r="E363" s="1092"/>
      <c r="F363" s="1094"/>
      <c r="G363" s="103"/>
      <c r="H363" s="840"/>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839"/>
      <c r="I364" s="1091"/>
      <c r="J364" s="1083"/>
      <c r="K364" s="1083"/>
      <c r="L364" s="932"/>
    </row>
    <row r="365" spans="1:12" s="106" customFormat="1" ht="15.75" hidden="1" customHeight="1" outlineLevel="1">
      <c r="A365" s="932"/>
      <c r="B365" s="1086"/>
      <c r="C365" s="1095"/>
      <c r="D365" s="1091"/>
      <c r="E365" s="1091"/>
      <c r="F365" s="1093"/>
      <c r="G365" s="98"/>
      <c r="H365" s="839"/>
      <c r="I365" s="1091"/>
      <c r="J365" s="1084"/>
      <c r="K365" s="1084"/>
      <c r="L365" s="932"/>
    </row>
    <row r="366" spans="1:12" s="106" customFormat="1" ht="15.75" hidden="1" customHeight="1" outlineLevel="1">
      <c r="A366" s="932"/>
      <c r="B366" s="1087"/>
      <c r="C366" s="1096"/>
      <c r="D366" s="1092"/>
      <c r="E366" s="1092"/>
      <c r="F366" s="1094"/>
      <c r="G366" s="103"/>
      <c r="H366" s="840"/>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839"/>
      <c r="I367" s="1091"/>
      <c r="J367" s="1083"/>
      <c r="K367" s="1083"/>
      <c r="L367" s="932"/>
    </row>
    <row r="368" spans="1:12" s="106" customFormat="1" ht="15.75" hidden="1" customHeight="1" outlineLevel="1">
      <c r="A368" s="932"/>
      <c r="B368" s="1086"/>
      <c r="C368" s="1095"/>
      <c r="D368" s="1091"/>
      <c r="E368" s="1091"/>
      <c r="F368" s="1093"/>
      <c r="G368" s="98"/>
      <c r="H368" s="839"/>
      <c r="I368" s="1091"/>
      <c r="J368" s="1084"/>
      <c r="K368" s="1084"/>
      <c r="L368" s="932"/>
    </row>
    <row r="369" spans="1:12" s="106" customFormat="1" ht="15.75" hidden="1" customHeight="1" outlineLevel="1">
      <c r="A369" s="932"/>
      <c r="B369" s="1087"/>
      <c r="C369" s="1096"/>
      <c r="D369" s="1092"/>
      <c r="E369" s="1092"/>
      <c r="F369" s="1094"/>
      <c r="G369" s="103"/>
      <c r="H369" s="840"/>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839"/>
      <c r="I370" s="1091"/>
      <c r="J370" s="1083"/>
      <c r="K370" s="1083"/>
      <c r="L370" s="932"/>
    </row>
    <row r="371" spans="1:12" s="106" customFormat="1" ht="15.75" hidden="1" customHeight="1" outlineLevel="1">
      <c r="A371" s="932"/>
      <c r="B371" s="1086"/>
      <c r="C371" s="1095"/>
      <c r="D371" s="1091"/>
      <c r="E371" s="1091"/>
      <c r="F371" s="1093"/>
      <c r="G371" s="98"/>
      <c r="H371" s="839"/>
      <c r="I371" s="1091"/>
      <c r="J371" s="1084"/>
      <c r="K371" s="1084"/>
      <c r="L371" s="932"/>
    </row>
    <row r="372" spans="1:12" s="106" customFormat="1" ht="15.75" hidden="1" customHeight="1" outlineLevel="1">
      <c r="A372" s="932"/>
      <c r="B372" s="1087"/>
      <c r="C372" s="1096"/>
      <c r="D372" s="1092"/>
      <c r="E372" s="1092"/>
      <c r="F372" s="1094"/>
      <c r="G372" s="103"/>
      <c r="H372" s="840"/>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839"/>
      <c r="I373" s="1091"/>
      <c r="J373" s="1083"/>
      <c r="K373" s="1083"/>
      <c r="L373" s="932"/>
    </row>
    <row r="374" spans="1:12" s="106" customFormat="1" ht="15.75" hidden="1" customHeight="1" outlineLevel="1">
      <c r="A374" s="932"/>
      <c r="B374" s="1086"/>
      <c r="C374" s="1095"/>
      <c r="D374" s="1091"/>
      <c r="E374" s="1091"/>
      <c r="F374" s="1093"/>
      <c r="G374" s="98"/>
      <c r="H374" s="839"/>
      <c r="I374" s="1091"/>
      <c r="J374" s="1084"/>
      <c r="K374" s="1084"/>
      <c r="L374" s="932"/>
    </row>
    <row r="375" spans="1:12" s="106" customFormat="1" ht="15.75" hidden="1" customHeight="1" outlineLevel="1">
      <c r="A375" s="932"/>
      <c r="B375" s="1087"/>
      <c r="C375" s="1096"/>
      <c r="D375" s="1092"/>
      <c r="E375" s="1092"/>
      <c r="F375" s="1094"/>
      <c r="G375" s="103"/>
      <c r="H375" s="840"/>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839"/>
      <c r="I376" s="1091"/>
      <c r="J376" s="1083"/>
      <c r="K376" s="1083"/>
      <c r="L376" s="932"/>
    </row>
    <row r="377" spans="1:12" s="106" customFormat="1" ht="15.75" hidden="1" customHeight="1" outlineLevel="1">
      <c r="A377" s="932"/>
      <c r="B377" s="1086"/>
      <c r="C377" s="1095"/>
      <c r="D377" s="1091"/>
      <c r="E377" s="1091"/>
      <c r="F377" s="1093"/>
      <c r="G377" s="98"/>
      <c r="H377" s="839"/>
      <c r="I377" s="1091"/>
      <c r="J377" s="1084"/>
      <c r="K377" s="1084"/>
      <c r="L377" s="932"/>
    </row>
    <row r="378" spans="1:12" s="106" customFormat="1" ht="15.75" hidden="1" customHeight="1" outlineLevel="1">
      <c r="A378" s="932"/>
      <c r="B378" s="1087"/>
      <c r="C378" s="1096"/>
      <c r="D378" s="1092"/>
      <c r="E378" s="1092"/>
      <c r="F378" s="1094"/>
      <c r="G378" s="103"/>
      <c r="H378" s="840"/>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839"/>
      <c r="I379" s="1091"/>
      <c r="J379" s="1083"/>
      <c r="K379" s="1083"/>
      <c r="L379" s="932"/>
    </row>
    <row r="380" spans="1:12" s="106" customFormat="1" ht="15.75" hidden="1" customHeight="1" outlineLevel="1">
      <c r="A380" s="932"/>
      <c r="B380" s="1086"/>
      <c r="C380" s="1095"/>
      <c r="D380" s="1091"/>
      <c r="E380" s="1091"/>
      <c r="F380" s="1093"/>
      <c r="G380" s="98"/>
      <c r="H380" s="839"/>
      <c r="I380" s="1091"/>
      <c r="J380" s="1084"/>
      <c r="K380" s="1084"/>
      <c r="L380" s="932"/>
    </row>
    <row r="381" spans="1:12" s="106" customFormat="1" ht="15.75" hidden="1" customHeight="1" outlineLevel="1">
      <c r="A381" s="932"/>
      <c r="B381" s="1087"/>
      <c r="C381" s="1096"/>
      <c r="D381" s="1092"/>
      <c r="E381" s="1092"/>
      <c r="F381" s="1094"/>
      <c r="G381" s="103"/>
      <c r="H381" s="840"/>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839"/>
      <c r="I382" s="1091"/>
      <c r="J382" s="1083"/>
      <c r="K382" s="1083"/>
      <c r="L382" s="932"/>
    </row>
    <row r="383" spans="1:12" s="106" customFormat="1" ht="15.75" hidden="1" customHeight="1" outlineLevel="1">
      <c r="A383" s="932"/>
      <c r="B383" s="1086"/>
      <c r="C383" s="1095"/>
      <c r="D383" s="1091"/>
      <c r="E383" s="1091"/>
      <c r="F383" s="1093"/>
      <c r="G383" s="98"/>
      <c r="H383" s="839"/>
      <c r="I383" s="1091"/>
      <c r="J383" s="1084"/>
      <c r="K383" s="1084"/>
      <c r="L383" s="932"/>
    </row>
    <row r="384" spans="1:12" s="106" customFormat="1" ht="15.75" hidden="1" customHeight="1" outlineLevel="1">
      <c r="A384" s="932"/>
      <c r="B384" s="1087"/>
      <c r="C384" s="1096"/>
      <c r="D384" s="1092"/>
      <c r="E384" s="1092"/>
      <c r="F384" s="1094"/>
      <c r="G384" s="103"/>
      <c r="H384" s="840"/>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839"/>
      <c r="I385" s="1091"/>
      <c r="J385" s="1083"/>
      <c r="K385" s="1083"/>
      <c r="L385" s="932"/>
    </row>
    <row r="386" spans="1:12" s="106" customFormat="1" ht="15.75" hidden="1" customHeight="1" outlineLevel="1">
      <c r="A386" s="932"/>
      <c r="B386" s="1086"/>
      <c r="C386" s="1095"/>
      <c r="D386" s="1091"/>
      <c r="E386" s="1091"/>
      <c r="F386" s="1093"/>
      <c r="G386" s="98"/>
      <c r="H386" s="839"/>
      <c r="I386" s="1091"/>
      <c r="J386" s="1084"/>
      <c r="K386" s="1084"/>
      <c r="L386" s="932"/>
    </row>
    <row r="387" spans="1:12" s="106" customFormat="1" ht="15.75" hidden="1" customHeight="1" outlineLevel="1">
      <c r="A387" s="932"/>
      <c r="B387" s="1087"/>
      <c r="C387" s="1096"/>
      <c r="D387" s="1092"/>
      <c r="E387" s="1092"/>
      <c r="F387" s="1094"/>
      <c r="G387" s="103"/>
      <c r="H387" s="840"/>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839"/>
      <c r="I388" s="1091"/>
      <c r="J388" s="1083"/>
      <c r="K388" s="1083"/>
      <c r="L388" s="932"/>
    </row>
    <row r="389" spans="1:12" s="106" customFormat="1" ht="15.75" hidden="1" customHeight="1" outlineLevel="1">
      <c r="A389" s="932"/>
      <c r="B389" s="1086"/>
      <c r="C389" s="1095"/>
      <c r="D389" s="1091"/>
      <c r="E389" s="1091"/>
      <c r="F389" s="1093"/>
      <c r="G389" s="98"/>
      <c r="H389" s="839"/>
      <c r="I389" s="1091"/>
      <c r="J389" s="1084"/>
      <c r="K389" s="1084"/>
      <c r="L389" s="932"/>
    </row>
    <row r="390" spans="1:12" s="106" customFormat="1" ht="15.75" hidden="1" customHeight="1" outlineLevel="1">
      <c r="A390" s="932"/>
      <c r="B390" s="1087"/>
      <c r="C390" s="1096"/>
      <c r="D390" s="1092"/>
      <c r="E390" s="1092"/>
      <c r="F390" s="1094"/>
      <c r="G390" s="103"/>
      <c r="H390" s="840"/>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839"/>
      <c r="I391" s="1091"/>
      <c r="J391" s="1083"/>
      <c r="K391" s="1083"/>
      <c r="L391" s="932"/>
    </row>
    <row r="392" spans="1:12" s="106" customFormat="1" ht="15.75" hidden="1" customHeight="1" outlineLevel="1">
      <c r="A392" s="932"/>
      <c r="B392" s="1086"/>
      <c r="C392" s="1095"/>
      <c r="D392" s="1091"/>
      <c r="E392" s="1091"/>
      <c r="F392" s="1093"/>
      <c r="G392" s="98"/>
      <c r="H392" s="839"/>
      <c r="I392" s="1091"/>
      <c r="J392" s="1084"/>
      <c r="K392" s="1084"/>
      <c r="L392" s="932"/>
    </row>
    <row r="393" spans="1:12" s="106" customFormat="1" ht="15.75" hidden="1" customHeight="1" outlineLevel="1">
      <c r="A393" s="932"/>
      <c r="B393" s="1087"/>
      <c r="C393" s="1096"/>
      <c r="D393" s="1092"/>
      <c r="E393" s="1092"/>
      <c r="F393" s="1094"/>
      <c r="G393" s="103"/>
      <c r="H393" s="840"/>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839"/>
      <c r="I394" s="1091"/>
      <c r="J394" s="1083"/>
      <c r="K394" s="1083"/>
      <c r="L394" s="932"/>
    </row>
    <row r="395" spans="1:12" s="106" customFormat="1" ht="15.75" hidden="1" customHeight="1" outlineLevel="1">
      <c r="A395" s="932"/>
      <c r="B395" s="1086"/>
      <c r="C395" s="1095"/>
      <c r="D395" s="1091"/>
      <c r="E395" s="1091"/>
      <c r="F395" s="1093"/>
      <c r="G395" s="98"/>
      <c r="H395" s="839"/>
      <c r="I395" s="1091"/>
      <c r="J395" s="1084"/>
      <c r="K395" s="1084"/>
      <c r="L395" s="932"/>
    </row>
    <row r="396" spans="1:12" s="106" customFormat="1" ht="15.75" hidden="1" customHeight="1" outlineLevel="1">
      <c r="A396" s="932"/>
      <c r="B396" s="1087"/>
      <c r="C396" s="1096"/>
      <c r="D396" s="1092"/>
      <c r="E396" s="1092"/>
      <c r="F396" s="1094"/>
      <c r="G396" s="103"/>
      <c r="H396" s="840"/>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839"/>
      <c r="I397" s="1091"/>
      <c r="J397" s="1083"/>
      <c r="K397" s="1083"/>
      <c r="L397" s="932"/>
    </row>
    <row r="398" spans="1:12" s="106" customFormat="1" ht="15.75" hidden="1" customHeight="1" outlineLevel="1">
      <c r="A398" s="932"/>
      <c r="B398" s="1086"/>
      <c r="C398" s="1095"/>
      <c r="D398" s="1091"/>
      <c r="E398" s="1091"/>
      <c r="F398" s="1093"/>
      <c r="G398" s="98"/>
      <c r="H398" s="839"/>
      <c r="I398" s="1091"/>
      <c r="J398" s="1084"/>
      <c r="K398" s="1084"/>
      <c r="L398" s="932"/>
    </row>
    <row r="399" spans="1:12" s="106" customFormat="1" ht="15.75" hidden="1" customHeight="1" outlineLevel="1">
      <c r="A399" s="932"/>
      <c r="B399" s="1087"/>
      <c r="C399" s="1096"/>
      <c r="D399" s="1092"/>
      <c r="E399" s="1092"/>
      <c r="F399" s="1094"/>
      <c r="G399" s="103"/>
      <c r="H399" s="840"/>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839"/>
      <c r="I400" s="1091"/>
      <c r="J400" s="1083"/>
      <c r="K400" s="1083"/>
      <c r="L400" s="932"/>
    </row>
    <row r="401" spans="1:12" s="106" customFormat="1" ht="15.75" hidden="1" customHeight="1" outlineLevel="1">
      <c r="A401" s="932"/>
      <c r="B401" s="1086"/>
      <c r="C401" s="1095"/>
      <c r="D401" s="1091"/>
      <c r="E401" s="1091"/>
      <c r="F401" s="1093"/>
      <c r="G401" s="98"/>
      <c r="H401" s="839"/>
      <c r="I401" s="1091"/>
      <c r="J401" s="1084"/>
      <c r="K401" s="1084"/>
      <c r="L401" s="932"/>
    </row>
    <row r="402" spans="1:12" s="106" customFormat="1" ht="15.75" hidden="1" customHeight="1" outlineLevel="1">
      <c r="A402" s="932"/>
      <c r="B402" s="1087"/>
      <c r="C402" s="1096"/>
      <c r="D402" s="1092"/>
      <c r="E402" s="1092"/>
      <c r="F402" s="1094"/>
      <c r="G402" s="103"/>
      <c r="H402" s="840"/>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839"/>
      <c r="I403" s="1091"/>
      <c r="J403" s="1083"/>
      <c r="K403" s="1083"/>
      <c r="L403" s="932"/>
    </row>
    <row r="404" spans="1:12" s="106" customFormat="1" ht="15.75" hidden="1" customHeight="1" outlineLevel="1">
      <c r="A404" s="932"/>
      <c r="B404" s="1086"/>
      <c r="C404" s="1095"/>
      <c r="D404" s="1091"/>
      <c r="E404" s="1091"/>
      <c r="F404" s="1093"/>
      <c r="G404" s="98"/>
      <c r="H404" s="839"/>
      <c r="I404" s="1091"/>
      <c r="J404" s="1084"/>
      <c r="K404" s="1084"/>
      <c r="L404" s="932"/>
    </row>
    <row r="405" spans="1:12" s="106" customFormat="1" ht="15.75" hidden="1" customHeight="1" outlineLevel="1">
      <c r="A405" s="932"/>
      <c r="B405" s="1087"/>
      <c r="C405" s="1096"/>
      <c r="D405" s="1092"/>
      <c r="E405" s="1092"/>
      <c r="F405" s="1094"/>
      <c r="G405" s="103"/>
      <c r="H405" s="840"/>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839"/>
      <c r="I406" s="1091"/>
      <c r="J406" s="1083"/>
      <c r="K406" s="1083"/>
      <c r="L406" s="932"/>
    </row>
    <row r="407" spans="1:12" s="106" customFormat="1" ht="15.75" hidden="1" customHeight="1" outlineLevel="1">
      <c r="A407" s="932"/>
      <c r="B407" s="1086"/>
      <c r="C407" s="1095"/>
      <c r="D407" s="1091"/>
      <c r="E407" s="1091"/>
      <c r="F407" s="1093"/>
      <c r="G407" s="98"/>
      <c r="H407" s="839"/>
      <c r="I407" s="1091"/>
      <c r="J407" s="1084"/>
      <c r="K407" s="1084"/>
      <c r="L407" s="932"/>
    </row>
    <row r="408" spans="1:12" s="106" customFormat="1" ht="15.75" hidden="1" customHeight="1" outlineLevel="1">
      <c r="A408" s="932"/>
      <c r="B408" s="1087"/>
      <c r="C408" s="1096"/>
      <c r="D408" s="1092"/>
      <c r="E408" s="1092"/>
      <c r="F408" s="1094"/>
      <c r="G408" s="103"/>
      <c r="H408" s="840"/>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839"/>
      <c r="I409" s="1091"/>
      <c r="J409" s="1083"/>
      <c r="K409" s="1083"/>
      <c r="L409" s="932"/>
    </row>
    <row r="410" spans="1:12" s="106" customFormat="1" ht="15.75" hidden="1" customHeight="1" outlineLevel="1">
      <c r="A410" s="932"/>
      <c r="B410" s="1086"/>
      <c r="C410" s="1095"/>
      <c r="D410" s="1091"/>
      <c r="E410" s="1091"/>
      <c r="F410" s="1093"/>
      <c r="G410" s="98"/>
      <c r="H410" s="839"/>
      <c r="I410" s="1091"/>
      <c r="J410" s="1084"/>
      <c r="K410" s="1084"/>
      <c r="L410" s="932"/>
    </row>
    <row r="411" spans="1:12" s="106" customFormat="1" ht="15.75" hidden="1" customHeight="1" outlineLevel="1">
      <c r="A411" s="932"/>
      <c r="B411" s="1087"/>
      <c r="C411" s="1096"/>
      <c r="D411" s="1092"/>
      <c r="E411" s="1092"/>
      <c r="F411" s="1094"/>
      <c r="G411" s="103"/>
      <c r="H411" s="840"/>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839"/>
      <c r="I412" s="1091"/>
      <c r="J412" s="1083"/>
      <c r="K412" s="1083"/>
      <c r="L412" s="932"/>
    </row>
    <row r="413" spans="1:12" s="106" customFormat="1" ht="15.75" hidden="1" customHeight="1" outlineLevel="1">
      <c r="A413" s="932"/>
      <c r="B413" s="1086"/>
      <c r="C413" s="1095"/>
      <c r="D413" s="1091"/>
      <c r="E413" s="1091"/>
      <c r="F413" s="1093"/>
      <c r="G413" s="98"/>
      <c r="H413" s="839"/>
      <c r="I413" s="1091"/>
      <c r="J413" s="1084"/>
      <c r="K413" s="1084"/>
      <c r="L413" s="932"/>
    </row>
    <row r="414" spans="1:12" s="106" customFormat="1" ht="15.75" hidden="1" customHeight="1" outlineLevel="1">
      <c r="A414" s="932"/>
      <c r="B414" s="1087"/>
      <c r="C414" s="1096"/>
      <c r="D414" s="1092"/>
      <c r="E414" s="1092"/>
      <c r="F414" s="1094"/>
      <c r="G414" s="103"/>
      <c r="H414" s="840"/>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839"/>
      <c r="I415" s="1091"/>
      <c r="J415" s="1083"/>
      <c r="K415" s="1083"/>
      <c r="L415" s="932"/>
    </row>
    <row r="416" spans="1:12" s="106" customFormat="1" ht="15.75" hidden="1" customHeight="1" outlineLevel="1">
      <c r="A416" s="932"/>
      <c r="B416" s="1086"/>
      <c r="C416" s="1095"/>
      <c r="D416" s="1091"/>
      <c r="E416" s="1091"/>
      <c r="F416" s="1093"/>
      <c r="G416" s="98"/>
      <c r="H416" s="839"/>
      <c r="I416" s="1091"/>
      <c r="J416" s="1084"/>
      <c r="K416" s="1084"/>
      <c r="L416" s="932"/>
    </row>
    <row r="417" spans="1:12" s="106" customFormat="1" ht="15.75" hidden="1" customHeight="1" outlineLevel="1">
      <c r="A417" s="932"/>
      <c r="B417" s="1087"/>
      <c r="C417" s="1096"/>
      <c r="D417" s="1092"/>
      <c r="E417" s="1092"/>
      <c r="F417" s="1094"/>
      <c r="G417" s="103"/>
      <c r="H417" s="840"/>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839"/>
      <c r="I418" s="1091"/>
      <c r="J418" s="1083"/>
      <c r="K418" s="1083"/>
      <c r="L418" s="932"/>
    </row>
    <row r="419" spans="1:12" s="106" customFormat="1" ht="15.75" hidden="1" customHeight="1" outlineLevel="1">
      <c r="A419" s="932"/>
      <c r="B419" s="1086"/>
      <c r="C419" s="1095"/>
      <c r="D419" s="1091"/>
      <c r="E419" s="1091"/>
      <c r="F419" s="1093"/>
      <c r="G419" s="98"/>
      <c r="H419" s="839"/>
      <c r="I419" s="1091"/>
      <c r="J419" s="1084"/>
      <c r="K419" s="1084"/>
      <c r="L419" s="932"/>
    </row>
    <row r="420" spans="1:12" s="106" customFormat="1" ht="15.75" hidden="1" customHeight="1" outlineLevel="1">
      <c r="A420" s="932"/>
      <c r="B420" s="1087"/>
      <c r="C420" s="1096"/>
      <c r="D420" s="1092"/>
      <c r="E420" s="1092"/>
      <c r="F420" s="1094"/>
      <c r="G420" s="103"/>
      <c r="H420" s="840"/>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839"/>
      <c r="I421" s="1091"/>
      <c r="J421" s="1083"/>
      <c r="K421" s="1083"/>
      <c r="L421" s="932"/>
    </row>
    <row r="422" spans="1:12" s="106" customFormat="1" ht="15.75" hidden="1" customHeight="1" outlineLevel="1">
      <c r="A422" s="932"/>
      <c r="B422" s="1086"/>
      <c r="C422" s="1095"/>
      <c r="D422" s="1091"/>
      <c r="E422" s="1091"/>
      <c r="F422" s="1093"/>
      <c r="G422" s="98"/>
      <c r="H422" s="839"/>
      <c r="I422" s="1091"/>
      <c r="J422" s="1084"/>
      <c r="K422" s="1084"/>
      <c r="L422" s="932"/>
    </row>
    <row r="423" spans="1:12" s="106" customFormat="1" ht="15.75" hidden="1" customHeight="1" outlineLevel="1">
      <c r="A423" s="932"/>
      <c r="B423" s="1087"/>
      <c r="C423" s="1096"/>
      <c r="D423" s="1092"/>
      <c r="E423" s="1092"/>
      <c r="F423" s="1094"/>
      <c r="G423" s="103"/>
      <c r="H423" s="840"/>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839"/>
      <c r="I424" s="1091"/>
      <c r="J424" s="1083"/>
      <c r="K424" s="1083"/>
      <c r="L424" s="932"/>
    </row>
    <row r="425" spans="1:12" s="106" customFormat="1" ht="15.75" hidden="1" customHeight="1" outlineLevel="1">
      <c r="A425" s="932"/>
      <c r="B425" s="1086"/>
      <c r="C425" s="1095"/>
      <c r="D425" s="1091"/>
      <c r="E425" s="1091"/>
      <c r="F425" s="1093"/>
      <c r="G425" s="98"/>
      <c r="H425" s="839"/>
      <c r="I425" s="1091"/>
      <c r="J425" s="1084"/>
      <c r="K425" s="1084"/>
      <c r="L425" s="932"/>
    </row>
    <row r="426" spans="1:12" s="106" customFormat="1" ht="15.75" hidden="1" customHeight="1" outlineLevel="1">
      <c r="A426" s="932"/>
      <c r="B426" s="1087"/>
      <c r="C426" s="1096"/>
      <c r="D426" s="1092"/>
      <c r="E426" s="1092"/>
      <c r="F426" s="1094"/>
      <c r="G426" s="103"/>
      <c r="H426" s="840"/>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839"/>
      <c r="I427" s="1091"/>
      <c r="J427" s="1083"/>
      <c r="K427" s="1083"/>
      <c r="L427" s="932"/>
    </row>
    <row r="428" spans="1:12" s="106" customFormat="1" ht="15.75" hidden="1" customHeight="1" outlineLevel="1">
      <c r="A428" s="932"/>
      <c r="B428" s="1086"/>
      <c r="C428" s="1095"/>
      <c r="D428" s="1091"/>
      <c r="E428" s="1091"/>
      <c r="F428" s="1093"/>
      <c r="G428" s="98"/>
      <c r="H428" s="839"/>
      <c r="I428" s="1091"/>
      <c r="J428" s="1084"/>
      <c r="K428" s="1084"/>
      <c r="L428" s="932"/>
    </row>
    <row r="429" spans="1:12" s="106" customFormat="1" ht="15.75" hidden="1" customHeight="1" outlineLevel="1">
      <c r="A429" s="932"/>
      <c r="B429" s="1087"/>
      <c r="C429" s="1096"/>
      <c r="D429" s="1092"/>
      <c r="E429" s="1092"/>
      <c r="F429" s="1094"/>
      <c r="G429" s="103"/>
      <c r="H429" s="840"/>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839"/>
      <c r="I430" s="1091"/>
      <c r="J430" s="1083"/>
      <c r="K430" s="1083"/>
      <c r="L430" s="932"/>
    </row>
    <row r="431" spans="1:12" s="106" customFormat="1" ht="15.75" hidden="1" customHeight="1" outlineLevel="1">
      <c r="A431" s="932"/>
      <c r="B431" s="1086"/>
      <c r="C431" s="1095"/>
      <c r="D431" s="1091"/>
      <c r="E431" s="1091"/>
      <c r="F431" s="1093"/>
      <c r="G431" s="98"/>
      <c r="H431" s="839"/>
      <c r="I431" s="1091"/>
      <c r="J431" s="1084"/>
      <c r="K431" s="1084"/>
      <c r="L431" s="932"/>
    </row>
    <row r="432" spans="1:12" s="106" customFormat="1" ht="15.75" hidden="1" customHeight="1" outlineLevel="1">
      <c r="A432" s="932"/>
      <c r="B432" s="1087"/>
      <c r="C432" s="1096"/>
      <c r="D432" s="1092"/>
      <c r="E432" s="1092"/>
      <c r="F432" s="1094"/>
      <c r="G432" s="103"/>
      <c r="H432" s="840"/>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839"/>
      <c r="I433" s="1091"/>
      <c r="J433" s="1083"/>
      <c r="K433" s="1083"/>
      <c r="L433" s="932"/>
    </row>
    <row r="434" spans="1:12" s="106" customFormat="1" ht="15.75" hidden="1" customHeight="1" outlineLevel="1">
      <c r="A434" s="932"/>
      <c r="B434" s="1086"/>
      <c r="C434" s="1095"/>
      <c r="D434" s="1091"/>
      <c r="E434" s="1091"/>
      <c r="F434" s="1093"/>
      <c r="G434" s="98"/>
      <c r="H434" s="839"/>
      <c r="I434" s="1091"/>
      <c r="J434" s="1084"/>
      <c r="K434" s="1084"/>
      <c r="L434" s="932"/>
    </row>
    <row r="435" spans="1:12" s="106" customFormat="1" ht="15.75" hidden="1" customHeight="1" outlineLevel="1">
      <c r="A435" s="932"/>
      <c r="B435" s="1087"/>
      <c r="C435" s="1096"/>
      <c r="D435" s="1092"/>
      <c r="E435" s="1092"/>
      <c r="F435" s="1094"/>
      <c r="G435" s="103"/>
      <c r="H435" s="840"/>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839"/>
      <c r="I436" s="1091"/>
      <c r="J436" s="1083"/>
      <c r="K436" s="1083"/>
      <c r="L436" s="932"/>
    </row>
    <row r="437" spans="1:12" s="106" customFormat="1" ht="15.75" hidden="1" customHeight="1" outlineLevel="1">
      <c r="A437" s="932"/>
      <c r="B437" s="1086"/>
      <c r="C437" s="1095"/>
      <c r="D437" s="1091"/>
      <c r="E437" s="1091"/>
      <c r="F437" s="1093"/>
      <c r="G437" s="98"/>
      <c r="H437" s="839"/>
      <c r="I437" s="1091"/>
      <c r="J437" s="1084"/>
      <c r="K437" s="1084"/>
      <c r="L437" s="932"/>
    </row>
    <row r="438" spans="1:12" s="106" customFormat="1" ht="15.75" hidden="1" customHeight="1" outlineLevel="1">
      <c r="A438" s="932"/>
      <c r="B438" s="1087"/>
      <c r="C438" s="1096"/>
      <c r="D438" s="1092"/>
      <c r="E438" s="1092"/>
      <c r="F438" s="1094"/>
      <c r="G438" s="103"/>
      <c r="H438" s="840"/>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839"/>
      <c r="I439" s="1091"/>
      <c r="J439" s="1083"/>
      <c r="K439" s="1083"/>
      <c r="L439" s="932"/>
    </row>
    <row r="440" spans="1:12" s="106" customFormat="1" ht="15.75" hidden="1" customHeight="1" outlineLevel="1">
      <c r="A440" s="932"/>
      <c r="B440" s="1086"/>
      <c r="C440" s="1095"/>
      <c r="D440" s="1091"/>
      <c r="E440" s="1091"/>
      <c r="F440" s="1093"/>
      <c r="G440" s="98"/>
      <c r="H440" s="839"/>
      <c r="I440" s="1091"/>
      <c r="J440" s="1084"/>
      <c r="K440" s="1084"/>
      <c r="L440" s="932"/>
    </row>
    <row r="441" spans="1:12" s="106" customFormat="1" ht="15.75" hidden="1" customHeight="1" outlineLevel="1">
      <c r="A441" s="932"/>
      <c r="B441" s="1087"/>
      <c r="C441" s="1096"/>
      <c r="D441" s="1092"/>
      <c r="E441" s="1092"/>
      <c r="F441" s="1094"/>
      <c r="G441" s="103"/>
      <c r="H441" s="840"/>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839"/>
      <c r="I442" s="1091"/>
      <c r="J442" s="1083"/>
      <c r="K442" s="1083"/>
      <c r="L442" s="932"/>
    </row>
    <row r="443" spans="1:12" s="106" customFormat="1" ht="15.75" hidden="1" customHeight="1" outlineLevel="1">
      <c r="A443" s="932"/>
      <c r="B443" s="1086"/>
      <c r="C443" s="1095"/>
      <c r="D443" s="1091"/>
      <c r="E443" s="1091"/>
      <c r="F443" s="1093"/>
      <c r="G443" s="98"/>
      <c r="H443" s="839"/>
      <c r="I443" s="1091"/>
      <c r="J443" s="1084"/>
      <c r="K443" s="1084"/>
      <c r="L443" s="932"/>
    </row>
    <row r="444" spans="1:12" s="106" customFormat="1" ht="15.75" hidden="1" customHeight="1" outlineLevel="1">
      <c r="A444" s="932"/>
      <c r="B444" s="1087"/>
      <c r="C444" s="1096"/>
      <c r="D444" s="1092"/>
      <c r="E444" s="1092"/>
      <c r="F444" s="1094"/>
      <c r="G444" s="103"/>
      <c r="H444" s="840"/>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839"/>
      <c r="I445" s="1091"/>
      <c r="J445" s="1083"/>
      <c r="K445" s="1083"/>
      <c r="L445" s="932"/>
    </row>
    <row r="446" spans="1:12" s="106" customFormat="1" ht="15.75" hidden="1" customHeight="1" outlineLevel="1">
      <c r="A446" s="932"/>
      <c r="B446" s="1086"/>
      <c r="C446" s="1095"/>
      <c r="D446" s="1091"/>
      <c r="E446" s="1091"/>
      <c r="F446" s="1093"/>
      <c r="G446" s="98"/>
      <c r="H446" s="839"/>
      <c r="I446" s="1091"/>
      <c r="J446" s="1084"/>
      <c r="K446" s="1084"/>
      <c r="L446" s="932"/>
    </row>
    <row r="447" spans="1:12" s="106" customFormat="1" ht="15.75" hidden="1" customHeight="1" outlineLevel="1">
      <c r="A447" s="932"/>
      <c r="B447" s="1087"/>
      <c r="C447" s="1096"/>
      <c r="D447" s="1092"/>
      <c r="E447" s="1092"/>
      <c r="F447" s="1094"/>
      <c r="G447" s="103"/>
      <c r="H447" s="840"/>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839"/>
      <c r="I448" s="1091"/>
      <c r="J448" s="1083"/>
      <c r="K448" s="1083"/>
      <c r="L448" s="932"/>
    </row>
    <row r="449" spans="1:12" s="106" customFormat="1" ht="15.75" hidden="1" customHeight="1" outlineLevel="1">
      <c r="A449" s="932"/>
      <c r="B449" s="1086"/>
      <c r="C449" s="1095"/>
      <c r="D449" s="1091"/>
      <c r="E449" s="1091"/>
      <c r="F449" s="1093"/>
      <c r="G449" s="98"/>
      <c r="H449" s="839"/>
      <c r="I449" s="1091"/>
      <c r="J449" s="1084"/>
      <c r="K449" s="1084"/>
      <c r="L449" s="932"/>
    </row>
    <row r="450" spans="1:12" s="106" customFormat="1" ht="15.75" hidden="1" customHeight="1" outlineLevel="1">
      <c r="A450" s="932"/>
      <c r="B450" s="1087"/>
      <c r="C450" s="1096"/>
      <c r="D450" s="1092"/>
      <c r="E450" s="1092"/>
      <c r="F450" s="1094"/>
      <c r="G450" s="103"/>
      <c r="H450" s="840"/>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839"/>
      <c r="I451" s="1091"/>
      <c r="J451" s="1083"/>
      <c r="K451" s="1083"/>
      <c r="L451" s="932"/>
    </row>
    <row r="452" spans="1:12" s="106" customFormat="1" ht="15.75" hidden="1" customHeight="1" outlineLevel="1">
      <c r="A452" s="932"/>
      <c r="B452" s="1086"/>
      <c r="C452" s="1095"/>
      <c r="D452" s="1091"/>
      <c r="E452" s="1091"/>
      <c r="F452" s="1093"/>
      <c r="G452" s="98"/>
      <c r="H452" s="839"/>
      <c r="I452" s="1091"/>
      <c r="J452" s="1084"/>
      <c r="K452" s="1084"/>
      <c r="L452" s="932"/>
    </row>
    <row r="453" spans="1:12" s="106" customFormat="1" ht="15.75" hidden="1" customHeight="1" outlineLevel="1">
      <c r="A453" s="932"/>
      <c r="B453" s="1087"/>
      <c r="C453" s="1096"/>
      <c r="D453" s="1092"/>
      <c r="E453" s="1092"/>
      <c r="F453" s="1094"/>
      <c r="G453" s="103"/>
      <c r="H453" s="840"/>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839"/>
      <c r="I454" s="1091"/>
      <c r="J454" s="1083"/>
      <c r="K454" s="1083"/>
      <c r="L454" s="932"/>
    </row>
    <row r="455" spans="1:12" s="106" customFormat="1" ht="15.75" hidden="1" customHeight="1" outlineLevel="1">
      <c r="A455" s="932"/>
      <c r="B455" s="1086"/>
      <c r="C455" s="1095"/>
      <c r="D455" s="1091"/>
      <c r="E455" s="1091"/>
      <c r="F455" s="1093"/>
      <c r="G455" s="98"/>
      <c r="H455" s="839"/>
      <c r="I455" s="1091"/>
      <c r="J455" s="1084"/>
      <c r="K455" s="1084"/>
      <c r="L455" s="932"/>
    </row>
    <row r="456" spans="1:12" s="106" customFormat="1" ht="15.75" hidden="1" customHeight="1" outlineLevel="1">
      <c r="A456" s="932"/>
      <c r="B456" s="1087"/>
      <c r="C456" s="1096"/>
      <c r="D456" s="1092"/>
      <c r="E456" s="1092"/>
      <c r="F456" s="1094"/>
      <c r="G456" s="103"/>
      <c r="H456" s="840"/>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839"/>
      <c r="I457" s="1091"/>
      <c r="J457" s="1083"/>
      <c r="K457" s="1083"/>
      <c r="L457" s="932"/>
    </row>
    <row r="458" spans="1:12" s="106" customFormat="1" ht="15.75" hidden="1" customHeight="1" outlineLevel="1">
      <c r="A458" s="932"/>
      <c r="B458" s="1086"/>
      <c r="C458" s="1095"/>
      <c r="D458" s="1091"/>
      <c r="E458" s="1091"/>
      <c r="F458" s="1093"/>
      <c r="G458" s="98"/>
      <c r="H458" s="839"/>
      <c r="I458" s="1091"/>
      <c r="J458" s="1084"/>
      <c r="K458" s="1084"/>
      <c r="L458" s="932"/>
    </row>
    <row r="459" spans="1:12" s="106" customFormat="1" ht="15.75" hidden="1" customHeight="1" outlineLevel="1">
      <c r="A459" s="932"/>
      <c r="B459" s="1087"/>
      <c r="C459" s="1096"/>
      <c r="D459" s="1092"/>
      <c r="E459" s="1092"/>
      <c r="F459" s="1094"/>
      <c r="G459" s="103"/>
      <c r="H459" s="840"/>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839"/>
      <c r="I460" s="1091"/>
      <c r="J460" s="1083"/>
      <c r="K460" s="1083"/>
      <c r="L460" s="932"/>
    </row>
    <row r="461" spans="1:12" s="106" customFormat="1" ht="15.75" hidden="1" customHeight="1" outlineLevel="1">
      <c r="A461" s="932"/>
      <c r="B461" s="1086"/>
      <c r="C461" s="1095"/>
      <c r="D461" s="1091"/>
      <c r="E461" s="1091"/>
      <c r="F461" s="1093"/>
      <c r="G461" s="98"/>
      <c r="H461" s="839"/>
      <c r="I461" s="1091"/>
      <c r="J461" s="1084"/>
      <c r="K461" s="1084"/>
      <c r="L461" s="932"/>
    </row>
    <row r="462" spans="1:12" s="106" customFormat="1" ht="15.75" hidden="1" customHeight="1" outlineLevel="1">
      <c r="A462" s="932"/>
      <c r="B462" s="1087"/>
      <c r="C462" s="1096"/>
      <c r="D462" s="1092"/>
      <c r="E462" s="1092"/>
      <c r="F462" s="1094"/>
      <c r="G462" s="103"/>
      <c r="H462" s="840"/>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839"/>
      <c r="I463" s="1091"/>
      <c r="J463" s="1083"/>
      <c r="K463" s="1083"/>
      <c r="L463" s="932"/>
    </row>
    <row r="464" spans="1:12" s="106" customFormat="1" ht="15.75" hidden="1" customHeight="1" outlineLevel="1">
      <c r="A464" s="932"/>
      <c r="B464" s="1086"/>
      <c r="C464" s="1095"/>
      <c r="D464" s="1091"/>
      <c r="E464" s="1091"/>
      <c r="F464" s="1093"/>
      <c r="G464" s="98"/>
      <c r="H464" s="839"/>
      <c r="I464" s="1091"/>
      <c r="J464" s="1084"/>
      <c r="K464" s="1084"/>
      <c r="L464" s="932"/>
    </row>
    <row r="465" spans="1:12" s="106" customFormat="1" ht="15.75" hidden="1" customHeight="1" outlineLevel="1">
      <c r="A465" s="932"/>
      <c r="B465" s="1087"/>
      <c r="C465" s="1096"/>
      <c r="D465" s="1092"/>
      <c r="E465" s="1092"/>
      <c r="F465" s="1094"/>
      <c r="G465" s="103"/>
      <c r="H465" s="840"/>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839"/>
      <c r="I466" s="1091"/>
      <c r="J466" s="1083"/>
      <c r="K466" s="1083"/>
      <c r="L466" s="932"/>
    </row>
    <row r="467" spans="1:12" s="106" customFormat="1" ht="15.75" hidden="1" customHeight="1" outlineLevel="1">
      <c r="A467" s="932"/>
      <c r="B467" s="1086"/>
      <c r="C467" s="1095"/>
      <c r="D467" s="1091"/>
      <c r="E467" s="1091"/>
      <c r="F467" s="1093"/>
      <c r="G467" s="98"/>
      <c r="H467" s="839"/>
      <c r="I467" s="1091"/>
      <c r="J467" s="1084"/>
      <c r="K467" s="1084"/>
      <c r="L467" s="932"/>
    </row>
    <row r="468" spans="1:12" s="106" customFormat="1" ht="15.75" hidden="1" customHeight="1" outlineLevel="1">
      <c r="A468" s="932"/>
      <c r="B468" s="1087"/>
      <c r="C468" s="1096"/>
      <c r="D468" s="1092"/>
      <c r="E468" s="1092"/>
      <c r="F468" s="1094"/>
      <c r="G468" s="103"/>
      <c r="H468" s="840"/>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839"/>
      <c r="I469" s="1091"/>
      <c r="J469" s="1083"/>
      <c r="K469" s="1083"/>
      <c r="L469" s="932"/>
    </row>
    <row r="470" spans="1:12" s="106" customFormat="1" ht="15.75" hidden="1" customHeight="1" outlineLevel="1">
      <c r="A470" s="932"/>
      <c r="B470" s="1086"/>
      <c r="C470" s="1095"/>
      <c r="D470" s="1091"/>
      <c r="E470" s="1091"/>
      <c r="F470" s="1093"/>
      <c r="G470" s="98"/>
      <c r="H470" s="839"/>
      <c r="I470" s="1091"/>
      <c r="J470" s="1084"/>
      <c r="K470" s="1084"/>
      <c r="L470" s="932"/>
    </row>
    <row r="471" spans="1:12" s="106" customFormat="1" ht="15.75" hidden="1" customHeight="1" outlineLevel="1">
      <c r="A471" s="932"/>
      <c r="B471" s="1087"/>
      <c r="C471" s="1096"/>
      <c r="D471" s="1092"/>
      <c r="E471" s="1092"/>
      <c r="F471" s="1094"/>
      <c r="G471" s="103"/>
      <c r="H471" s="840"/>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839"/>
      <c r="I472" s="1091"/>
      <c r="J472" s="1083"/>
      <c r="K472" s="1083"/>
      <c r="L472" s="932"/>
    </row>
    <row r="473" spans="1:12" s="106" customFormat="1" ht="15.75" hidden="1" customHeight="1" outlineLevel="1">
      <c r="A473" s="932"/>
      <c r="B473" s="1086"/>
      <c r="C473" s="1095"/>
      <c r="D473" s="1091"/>
      <c r="E473" s="1091"/>
      <c r="F473" s="1093"/>
      <c r="G473" s="98"/>
      <c r="H473" s="839"/>
      <c r="I473" s="1091"/>
      <c r="J473" s="1084"/>
      <c r="K473" s="1084"/>
      <c r="L473" s="932"/>
    </row>
    <row r="474" spans="1:12" s="106" customFormat="1" ht="15.75" hidden="1" customHeight="1" outlineLevel="1">
      <c r="A474" s="932"/>
      <c r="B474" s="1087"/>
      <c r="C474" s="1096"/>
      <c r="D474" s="1092"/>
      <c r="E474" s="1092"/>
      <c r="F474" s="1094"/>
      <c r="G474" s="103"/>
      <c r="H474" s="840"/>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839"/>
      <c r="I475" s="1091"/>
      <c r="J475" s="1083"/>
      <c r="K475" s="1083"/>
      <c r="L475" s="932"/>
    </row>
    <row r="476" spans="1:12" s="106" customFormat="1" ht="15.75" hidden="1" customHeight="1" outlineLevel="1">
      <c r="A476" s="932"/>
      <c r="B476" s="1086"/>
      <c r="C476" s="1095"/>
      <c r="D476" s="1091"/>
      <c r="E476" s="1091"/>
      <c r="F476" s="1093"/>
      <c r="G476" s="98"/>
      <c r="H476" s="839"/>
      <c r="I476" s="1091"/>
      <c r="J476" s="1084"/>
      <c r="K476" s="1084"/>
      <c r="L476" s="932"/>
    </row>
    <row r="477" spans="1:12" s="106" customFormat="1" ht="15.75" hidden="1" customHeight="1" outlineLevel="1">
      <c r="A477" s="932"/>
      <c r="B477" s="1087"/>
      <c r="C477" s="1096"/>
      <c r="D477" s="1092"/>
      <c r="E477" s="1092"/>
      <c r="F477" s="1094"/>
      <c r="G477" s="103"/>
      <c r="H477" s="840"/>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839"/>
      <c r="I478" s="1091"/>
      <c r="J478" s="1083"/>
      <c r="K478" s="1083"/>
      <c r="L478" s="932"/>
    </row>
    <row r="479" spans="1:12" s="106" customFormat="1" ht="15.75" hidden="1" customHeight="1" outlineLevel="1">
      <c r="A479" s="932"/>
      <c r="B479" s="1086"/>
      <c r="C479" s="1095"/>
      <c r="D479" s="1091"/>
      <c r="E479" s="1091"/>
      <c r="F479" s="1093"/>
      <c r="G479" s="98"/>
      <c r="H479" s="839"/>
      <c r="I479" s="1091"/>
      <c r="J479" s="1084"/>
      <c r="K479" s="1084"/>
      <c r="L479" s="932"/>
    </row>
    <row r="480" spans="1:12" s="106" customFormat="1" ht="15.75" hidden="1" customHeight="1" outlineLevel="1">
      <c r="A480" s="932"/>
      <c r="B480" s="1087"/>
      <c r="C480" s="1096"/>
      <c r="D480" s="1092"/>
      <c r="E480" s="1092"/>
      <c r="F480" s="1094"/>
      <c r="G480" s="103"/>
      <c r="H480" s="840"/>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839"/>
      <c r="I481" s="1091"/>
      <c r="J481" s="1083"/>
      <c r="K481" s="1083"/>
      <c r="L481" s="932"/>
    </row>
    <row r="482" spans="1:12" s="106" customFormat="1" ht="15.75" hidden="1" customHeight="1" outlineLevel="1">
      <c r="A482" s="932"/>
      <c r="B482" s="1086"/>
      <c r="C482" s="1095"/>
      <c r="D482" s="1091"/>
      <c r="E482" s="1091"/>
      <c r="F482" s="1093"/>
      <c r="G482" s="98"/>
      <c r="H482" s="839"/>
      <c r="I482" s="1091"/>
      <c r="J482" s="1084"/>
      <c r="K482" s="1084"/>
      <c r="L482" s="932"/>
    </row>
    <row r="483" spans="1:12" s="106" customFormat="1" ht="15.75" hidden="1" customHeight="1" outlineLevel="1">
      <c r="A483" s="932"/>
      <c r="B483" s="1087"/>
      <c r="C483" s="1096"/>
      <c r="D483" s="1092"/>
      <c r="E483" s="1092"/>
      <c r="F483" s="1094"/>
      <c r="G483" s="103"/>
      <c r="H483" s="840"/>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839"/>
      <c r="I484" s="1091"/>
      <c r="J484" s="1083"/>
      <c r="K484" s="1083"/>
      <c r="L484" s="932"/>
    </row>
    <row r="485" spans="1:12" s="106" customFormat="1" ht="15.75" hidden="1" customHeight="1" outlineLevel="1">
      <c r="A485" s="932"/>
      <c r="B485" s="1086"/>
      <c r="C485" s="1095"/>
      <c r="D485" s="1091"/>
      <c r="E485" s="1091"/>
      <c r="F485" s="1093"/>
      <c r="G485" s="98"/>
      <c r="H485" s="839"/>
      <c r="I485" s="1091"/>
      <c r="J485" s="1084"/>
      <c r="K485" s="1084"/>
      <c r="L485" s="932"/>
    </row>
    <row r="486" spans="1:12" s="106" customFormat="1" ht="15.75" hidden="1" customHeight="1" outlineLevel="1">
      <c r="A486" s="932"/>
      <c r="B486" s="1087"/>
      <c r="C486" s="1096"/>
      <c r="D486" s="1092"/>
      <c r="E486" s="1092"/>
      <c r="F486" s="1094"/>
      <c r="G486" s="103"/>
      <c r="H486" s="840"/>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839"/>
      <c r="I487" s="1091"/>
      <c r="J487" s="1083"/>
      <c r="K487" s="1083"/>
      <c r="L487" s="932"/>
    </row>
    <row r="488" spans="1:12" s="106" customFormat="1" ht="15.75" hidden="1" customHeight="1" outlineLevel="1">
      <c r="A488" s="932"/>
      <c r="B488" s="1086"/>
      <c r="C488" s="1095"/>
      <c r="D488" s="1091"/>
      <c r="E488" s="1091"/>
      <c r="F488" s="1093"/>
      <c r="G488" s="98"/>
      <c r="H488" s="839"/>
      <c r="I488" s="1091"/>
      <c r="J488" s="1084"/>
      <c r="K488" s="1084"/>
      <c r="L488" s="932"/>
    </row>
    <row r="489" spans="1:12" s="106" customFormat="1" ht="15.75" hidden="1" customHeight="1" outlineLevel="1">
      <c r="A489" s="932"/>
      <c r="B489" s="1087"/>
      <c r="C489" s="1096"/>
      <c r="D489" s="1092"/>
      <c r="E489" s="1092"/>
      <c r="F489" s="1094"/>
      <c r="G489" s="103"/>
      <c r="H489" s="840"/>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839"/>
      <c r="I490" s="1091"/>
      <c r="J490" s="1083"/>
      <c r="K490" s="1083"/>
      <c r="L490" s="932"/>
    </row>
    <row r="491" spans="1:12" s="106" customFormat="1" ht="15.75" hidden="1" customHeight="1" outlineLevel="1">
      <c r="A491" s="932"/>
      <c r="B491" s="1086"/>
      <c r="C491" s="1095"/>
      <c r="D491" s="1091"/>
      <c r="E491" s="1091"/>
      <c r="F491" s="1093"/>
      <c r="G491" s="98"/>
      <c r="H491" s="839"/>
      <c r="I491" s="1091"/>
      <c r="J491" s="1084"/>
      <c r="K491" s="1084"/>
      <c r="L491" s="932"/>
    </row>
    <row r="492" spans="1:12" s="106" customFormat="1" ht="15.75" hidden="1" customHeight="1" outlineLevel="1">
      <c r="A492" s="932"/>
      <c r="B492" s="1087"/>
      <c r="C492" s="1096"/>
      <c r="D492" s="1092"/>
      <c r="E492" s="1092"/>
      <c r="F492" s="1094"/>
      <c r="G492" s="103"/>
      <c r="H492" s="840"/>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839"/>
      <c r="I493" s="1091"/>
      <c r="J493" s="1083"/>
      <c r="K493" s="1083"/>
      <c r="L493" s="932"/>
    </row>
    <row r="494" spans="1:12" s="106" customFormat="1" ht="15.75" hidden="1" customHeight="1" outlineLevel="1">
      <c r="A494" s="932"/>
      <c r="B494" s="1086"/>
      <c r="C494" s="1095"/>
      <c r="D494" s="1091"/>
      <c r="E494" s="1091"/>
      <c r="F494" s="1093"/>
      <c r="G494" s="98"/>
      <c r="H494" s="839"/>
      <c r="I494" s="1091"/>
      <c r="J494" s="1084"/>
      <c r="K494" s="1084"/>
      <c r="L494" s="932"/>
    </row>
    <row r="495" spans="1:12" s="106" customFormat="1" ht="15.75" hidden="1" customHeight="1" outlineLevel="1">
      <c r="A495" s="932"/>
      <c r="B495" s="1087"/>
      <c r="C495" s="1096"/>
      <c r="D495" s="1092"/>
      <c r="E495" s="1092"/>
      <c r="F495" s="1094"/>
      <c r="G495" s="103"/>
      <c r="H495" s="840"/>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839"/>
      <c r="I496" s="1091"/>
      <c r="J496" s="1083"/>
      <c r="K496" s="1083"/>
      <c r="L496" s="932"/>
    </row>
    <row r="497" spans="1:12" s="106" customFormat="1" ht="15.75" hidden="1" customHeight="1" outlineLevel="1">
      <c r="A497" s="932"/>
      <c r="B497" s="1086"/>
      <c r="C497" s="1095"/>
      <c r="D497" s="1091"/>
      <c r="E497" s="1091"/>
      <c r="F497" s="1093"/>
      <c r="G497" s="98"/>
      <c r="H497" s="839"/>
      <c r="I497" s="1091"/>
      <c r="J497" s="1084"/>
      <c r="K497" s="1084"/>
      <c r="L497" s="932"/>
    </row>
    <row r="498" spans="1:12" s="106" customFormat="1" ht="15.75" hidden="1" customHeight="1" outlineLevel="1">
      <c r="A498" s="932"/>
      <c r="B498" s="1087"/>
      <c r="C498" s="1096"/>
      <c r="D498" s="1092"/>
      <c r="E498" s="1092"/>
      <c r="F498" s="1094"/>
      <c r="G498" s="103"/>
      <c r="H498" s="840"/>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839"/>
      <c r="I499" s="1091"/>
      <c r="J499" s="1083"/>
      <c r="K499" s="1083"/>
      <c r="L499" s="932"/>
    </row>
    <row r="500" spans="1:12" s="106" customFormat="1" ht="15.75" hidden="1" customHeight="1" outlineLevel="1">
      <c r="A500" s="932"/>
      <c r="B500" s="1086"/>
      <c r="C500" s="1095"/>
      <c r="D500" s="1091"/>
      <c r="E500" s="1091"/>
      <c r="F500" s="1093"/>
      <c r="G500" s="98"/>
      <c r="H500" s="839"/>
      <c r="I500" s="1091"/>
      <c r="J500" s="1084"/>
      <c r="K500" s="1084"/>
      <c r="L500" s="932"/>
    </row>
    <row r="501" spans="1:12" s="106" customFormat="1" ht="15.75" hidden="1" customHeight="1" outlineLevel="1">
      <c r="A501" s="932"/>
      <c r="B501" s="1087"/>
      <c r="C501" s="1096"/>
      <c r="D501" s="1092"/>
      <c r="E501" s="1092"/>
      <c r="F501" s="1094"/>
      <c r="G501" s="103"/>
      <c r="H501" s="840"/>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839"/>
      <c r="I502" s="1091"/>
      <c r="J502" s="1083"/>
      <c r="K502" s="1083"/>
      <c r="L502" s="932"/>
    </row>
    <row r="503" spans="1:12" s="106" customFormat="1" ht="15.75" hidden="1" customHeight="1" outlineLevel="1">
      <c r="A503" s="932"/>
      <c r="B503" s="1086"/>
      <c r="C503" s="1095"/>
      <c r="D503" s="1091"/>
      <c r="E503" s="1091"/>
      <c r="F503" s="1093"/>
      <c r="G503" s="98"/>
      <c r="H503" s="839"/>
      <c r="I503" s="1091"/>
      <c r="J503" s="1084"/>
      <c r="K503" s="1084"/>
      <c r="L503" s="932"/>
    </row>
    <row r="504" spans="1:12" s="106" customFormat="1" ht="15.75" hidden="1" customHeight="1" outlineLevel="1">
      <c r="A504" s="932"/>
      <c r="B504" s="1087"/>
      <c r="C504" s="1096"/>
      <c r="D504" s="1092"/>
      <c r="E504" s="1092"/>
      <c r="F504" s="1094"/>
      <c r="G504" s="103"/>
      <c r="H504" s="840"/>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839"/>
      <c r="I505" s="1091"/>
      <c r="J505" s="1083"/>
      <c r="K505" s="1083"/>
      <c r="L505" s="932"/>
    </row>
    <row r="506" spans="1:12" s="106" customFormat="1" ht="15.75" hidden="1" customHeight="1" outlineLevel="1">
      <c r="A506" s="932"/>
      <c r="B506" s="1086"/>
      <c r="C506" s="1095"/>
      <c r="D506" s="1091"/>
      <c r="E506" s="1091"/>
      <c r="F506" s="1093"/>
      <c r="G506" s="98"/>
      <c r="H506" s="839"/>
      <c r="I506" s="1091"/>
      <c r="J506" s="1084"/>
      <c r="K506" s="1084"/>
      <c r="L506" s="932"/>
    </row>
    <row r="507" spans="1:12" s="106" customFormat="1" ht="15.75" hidden="1" customHeight="1" outlineLevel="1">
      <c r="A507" s="932"/>
      <c r="B507" s="1087"/>
      <c r="C507" s="1096"/>
      <c r="D507" s="1092"/>
      <c r="E507" s="1092"/>
      <c r="F507" s="1094"/>
      <c r="G507" s="103"/>
      <c r="H507" s="840"/>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839"/>
      <c r="I508" s="1091"/>
      <c r="J508" s="1083"/>
      <c r="K508" s="1083"/>
      <c r="L508" s="932"/>
    </row>
    <row r="509" spans="1:12" s="106" customFormat="1" ht="15.75" hidden="1" customHeight="1" outlineLevel="1">
      <c r="A509" s="932"/>
      <c r="B509" s="1086"/>
      <c r="C509" s="1095"/>
      <c r="D509" s="1091"/>
      <c r="E509" s="1091"/>
      <c r="F509" s="1093"/>
      <c r="G509" s="98"/>
      <c r="H509" s="839"/>
      <c r="I509" s="1091"/>
      <c r="J509" s="1084"/>
      <c r="K509" s="1084"/>
      <c r="L509" s="932"/>
    </row>
    <row r="510" spans="1:12" s="106" customFormat="1" ht="15.75" hidden="1" customHeight="1" outlineLevel="1">
      <c r="A510" s="932"/>
      <c r="B510" s="1087"/>
      <c r="C510" s="1096"/>
      <c r="D510" s="1092"/>
      <c r="E510" s="1092"/>
      <c r="F510" s="1094"/>
      <c r="G510" s="103"/>
      <c r="H510" s="840"/>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839"/>
      <c r="I511" s="1091"/>
      <c r="J511" s="1083"/>
      <c r="K511" s="1083"/>
      <c r="L511" s="932"/>
    </row>
    <row r="512" spans="1:12" s="106" customFormat="1" ht="15.75" hidden="1" customHeight="1" outlineLevel="1">
      <c r="A512" s="932"/>
      <c r="B512" s="1086"/>
      <c r="C512" s="1095"/>
      <c r="D512" s="1091"/>
      <c r="E512" s="1091"/>
      <c r="F512" s="1093"/>
      <c r="G512" s="98"/>
      <c r="H512" s="839"/>
      <c r="I512" s="1091"/>
      <c r="J512" s="1084"/>
      <c r="K512" s="1084"/>
      <c r="L512" s="932"/>
    </row>
    <row r="513" spans="1:12" s="106" customFormat="1" ht="15.75" hidden="1" customHeight="1" outlineLevel="1">
      <c r="A513" s="932"/>
      <c r="B513" s="1087"/>
      <c r="C513" s="1096"/>
      <c r="D513" s="1092"/>
      <c r="E513" s="1092"/>
      <c r="F513" s="1094"/>
      <c r="G513" s="103"/>
      <c r="H513" s="840"/>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839"/>
      <c r="I514" s="1091"/>
      <c r="J514" s="1083"/>
      <c r="K514" s="1083"/>
      <c r="L514" s="932"/>
    </row>
    <row r="515" spans="1:12" s="106" customFormat="1" ht="15.75" hidden="1" customHeight="1" outlineLevel="1">
      <c r="A515" s="932"/>
      <c r="B515" s="1086"/>
      <c r="C515" s="1095"/>
      <c r="D515" s="1091"/>
      <c r="E515" s="1091"/>
      <c r="F515" s="1093"/>
      <c r="G515" s="98"/>
      <c r="H515" s="839"/>
      <c r="I515" s="1091"/>
      <c r="J515" s="1084"/>
      <c r="K515" s="1084"/>
      <c r="L515" s="932"/>
    </row>
    <row r="516" spans="1:12" s="106" customFormat="1" ht="15.75" hidden="1" customHeight="1" outlineLevel="1">
      <c r="A516" s="932"/>
      <c r="B516" s="1087"/>
      <c r="C516" s="1096"/>
      <c r="D516" s="1092"/>
      <c r="E516" s="1092"/>
      <c r="F516" s="1094"/>
      <c r="G516" s="103"/>
      <c r="H516" s="840"/>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839"/>
      <c r="I517" s="1091"/>
      <c r="J517" s="1083"/>
      <c r="K517" s="1083"/>
      <c r="L517" s="932"/>
    </row>
    <row r="518" spans="1:12" s="106" customFormat="1" ht="15.75" hidden="1" customHeight="1" outlineLevel="1">
      <c r="A518" s="932"/>
      <c r="B518" s="1086"/>
      <c r="C518" s="1095"/>
      <c r="D518" s="1091"/>
      <c r="E518" s="1091"/>
      <c r="F518" s="1093"/>
      <c r="G518" s="98"/>
      <c r="H518" s="839"/>
      <c r="I518" s="1091"/>
      <c r="J518" s="1084"/>
      <c r="K518" s="1084"/>
      <c r="L518" s="932"/>
    </row>
    <row r="519" spans="1:12" s="106" customFormat="1" ht="15.75" hidden="1" customHeight="1" outlineLevel="1">
      <c r="A519" s="932"/>
      <c r="B519" s="1087"/>
      <c r="C519" s="1096"/>
      <c r="D519" s="1092"/>
      <c r="E519" s="1092"/>
      <c r="F519" s="1094"/>
      <c r="G519" s="103"/>
      <c r="H519" s="840"/>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839"/>
      <c r="I520" s="1091"/>
      <c r="J520" s="1083"/>
      <c r="K520" s="1083"/>
      <c r="L520" s="932"/>
    </row>
    <row r="521" spans="1:12" s="106" customFormat="1" ht="15.75" hidden="1" customHeight="1" outlineLevel="1">
      <c r="A521" s="932"/>
      <c r="B521" s="1086"/>
      <c r="C521" s="1095"/>
      <c r="D521" s="1091"/>
      <c r="E521" s="1091"/>
      <c r="F521" s="1093"/>
      <c r="G521" s="98"/>
      <c r="H521" s="839"/>
      <c r="I521" s="1091"/>
      <c r="J521" s="1084"/>
      <c r="K521" s="1084"/>
      <c r="L521" s="932"/>
    </row>
    <row r="522" spans="1:12" s="106" customFormat="1" ht="15.75" hidden="1" customHeight="1" outlineLevel="1">
      <c r="A522" s="932"/>
      <c r="B522" s="1087"/>
      <c r="C522" s="1096"/>
      <c r="D522" s="1092"/>
      <c r="E522" s="1092"/>
      <c r="F522" s="1094"/>
      <c r="G522" s="103"/>
      <c r="H522" s="840"/>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839"/>
      <c r="I523" s="1091"/>
      <c r="J523" s="1083"/>
      <c r="K523" s="1083"/>
      <c r="L523" s="932"/>
    </row>
    <row r="524" spans="1:12" s="106" customFormat="1" ht="15.75" hidden="1" customHeight="1" outlineLevel="1">
      <c r="A524" s="932"/>
      <c r="B524" s="1086"/>
      <c r="C524" s="1095"/>
      <c r="D524" s="1091"/>
      <c r="E524" s="1091"/>
      <c r="F524" s="1093"/>
      <c r="G524" s="98"/>
      <c r="H524" s="839"/>
      <c r="I524" s="1091"/>
      <c r="J524" s="1084"/>
      <c r="K524" s="1084"/>
      <c r="L524" s="932"/>
    </row>
    <row r="525" spans="1:12" s="106" customFormat="1" ht="15.75" hidden="1" customHeight="1" outlineLevel="1">
      <c r="A525" s="932"/>
      <c r="B525" s="1087"/>
      <c r="C525" s="1096"/>
      <c r="D525" s="1092"/>
      <c r="E525" s="1092"/>
      <c r="F525" s="1094"/>
      <c r="G525" s="103"/>
      <c r="H525" s="840"/>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839"/>
      <c r="I526" s="1091"/>
      <c r="J526" s="1083"/>
      <c r="K526" s="1083"/>
      <c r="L526" s="932"/>
    </row>
    <row r="527" spans="1:12" s="106" customFormat="1" ht="15.75" hidden="1" customHeight="1" outlineLevel="1">
      <c r="A527" s="932"/>
      <c r="B527" s="1086"/>
      <c r="C527" s="1095"/>
      <c r="D527" s="1091"/>
      <c r="E527" s="1091"/>
      <c r="F527" s="1093"/>
      <c r="G527" s="98"/>
      <c r="H527" s="839"/>
      <c r="I527" s="1091"/>
      <c r="J527" s="1084"/>
      <c r="K527" s="1084"/>
      <c r="L527" s="932"/>
    </row>
    <row r="528" spans="1:12" s="106" customFormat="1" ht="15.75" hidden="1" customHeight="1" outlineLevel="1">
      <c r="A528" s="932"/>
      <c r="B528" s="1087"/>
      <c r="C528" s="1096"/>
      <c r="D528" s="1092"/>
      <c r="E528" s="1092"/>
      <c r="F528" s="1094"/>
      <c r="G528" s="103"/>
      <c r="H528" s="840"/>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839"/>
      <c r="I529" s="1091"/>
      <c r="J529" s="1083"/>
      <c r="K529" s="1083"/>
      <c r="L529" s="932"/>
    </row>
    <row r="530" spans="1:12" s="106" customFormat="1" ht="15.75" hidden="1" customHeight="1" outlineLevel="1">
      <c r="A530" s="932"/>
      <c r="B530" s="1086"/>
      <c r="C530" s="1095"/>
      <c r="D530" s="1091"/>
      <c r="E530" s="1091"/>
      <c r="F530" s="1093"/>
      <c r="G530" s="98"/>
      <c r="H530" s="839"/>
      <c r="I530" s="1091"/>
      <c r="J530" s="1084"/>
      <c r="K530" s="1084"/>
      <c r="L530" s="932"/>
    </row>
    <row r="531" spans="1:12" s="106" customFormat="1" ht="15.75" hidden="1" customHeight="1" outlineLevel="1">
      <c r="A531" s="932"/>
      <c r="B531" s="1087"/>
      <c r="C531" s="1096"/>
      <c r="D531" s="1092"/>
      <c r="E531" s="1092"/>
      <c r="F531" s="1094"/>
      <c r="G531" s="103"/>
      <c r="H531" s="840"/>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839"/>
      <c r="I532" s="1091"/>
      <c r="J532" s="1083"/>
      <c r="K532" s="1083"/>
      <c r="L532" s="932"/>
    </row>
    <row r="533" spans="1:12" s="106" customFormat="1" ht="15.75" hidden="1" customHeight="1" outlineLevel="1">
      <c r="A533" s="932"/>
      <c r="B533" s="1086"/>
      <c r="C533" s="1095"/>
      <c r="D533" s="1091"/>
      <c r="E533" s="1091"/>
      <c r="F533" s="1093"/>
      <c r="G533" s="98"/>
      <c r="H533" s="839"/>
      <c r="I533" s="1091"/>
      <c r="J533" s="1084"/>
      <c r="K533" s="1084"/>
      <c r="L533" s="932"/>
    </row>
    <row r="534" spans="1:12" s="106" customFormat="1" ht="15.75" hidden="1" customHeight="1" outlineLevel="1">
      <c r="A534" s="932"/>
      <c r="B534" s="1087"/>
      <c r="C534" s="1096"/>
      <c r="D534" s="1092"/>
      <c r="E534" s="1092"/>
      <c r="F534" s="1094"/>
      <c r="G534" s="103"/>
      <c r="H534" s="840"/>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839"/>
      <c r="I535" s="1091"/>
      <c r="J535" s="1083"/>
      <c r="K535" s="1083"/>
      <c r="L535" s="932"/>
    </row>
    <row r="536" spans="1:12" s="106" customFormat="1" ht="15.75" hidden="1" customHeight="1" outlineLevel="1">
      <c r="A536" s="932"/>
      <c r="B536" s="1086"/>
      <c r="C536" s="1095"/>
      <c r="D536" s="1091"/>
      <c r="E536" s="1091"/>
      <c r="F536" s="1093"/>
      <c r="G536" s="98"/>
      <c r="H536" s="839"/>
      <c r="I536" s="1091"/>
      <c r="J536" s="1084"/>
      <c r="K536" s="1084"/>
      <c r="L536" s="932"/>
    </row>
    <row r="537" spans="1:12" s="106" customFormat="1" ht="15.75" hidden="1" customHeight="1" outlineLevel="1">
      <c r="A537" s="932"/>
      <c r="B537" s="1087"/>
      <c r="C537" s="1096"/>
      <c r="D537" s="1092"/>
      <c r="E537" s="1092"/>
      <c r="F537" s="1094"/>
      <c r="G537" s="103"/>
      <c r="H537" s="840"/>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839"/>
      <c r="I538" s="1091"/>
      <c r="J538" s="1083"/>
      <c r="K538" s="1083"/>
      <c r="L538" s="932"/>
    </row>
    <row r="539" spans="1:12" s="106" customFormat="1" ht="15.75" hidden="1" customHeight="1" outlineLevel="1">
      <c r="A539" s="932"/>
      <c r="B539" s="1086"/>
      <c r="C539" s="1095"/>
      <c r="D539" s="1091"/>
      <c r="E539" s="1091"/>
      <c r="F539" s="1093"/>
      <c r="G539" s="98"/>
      <c r="H539" s="839"/>
      <c r="I539" s="1091"/>
      <c r="J539" s="1084"/>
      <c r="K539" s="1084"/>
      <c r="L539" s="932"/>
    </row>
    <row r="540" spans="1:12" s="106" customFormat="1" ht="15.75" hidden="1" customHeight="1" outlineLevel="1">
      <c r="A540" s="932"/>
      <c r="B540" s="1087"/>
      <c r="C540" s="1096"/>
      <c r="D540" s="1092"/>
      <c r="E540" s="1092"/>
      <c r="F540" s="1094"/>
      <c r="G540" s="103"/>
      <c r="H540" s="840"/>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839"/>
      <c r="I541" s="1091"/>
      <c r="J541" s="1083"/>
      <c r="K541" s="1083"/>
      <c r="L541" s="932"/>
    </row>
    <row r="542" spans="1:12" s="106" customFormat="1" ht="15.75" hidden="1" customHeight="1" outlineLevel="1">
      <c r="A542" s="932"/>
      <c r="B542" s="1086"/>
      <c r="C542" s="1095"/>
      <c r="D542" s="1091"/>
      <c r="E542" s="1091"/>
      <c r="F542" s="1093"/>
      <c r="G542" s="98"/>
      <c r="H542" s="839"/>
      <c r="I542" s="1091"/>
      <c r="J542" s="1084"/>
      <c r="K542" s="1084"/>
      <c r="L542" s="932"/>
    </row>
    <row r="543" spans="1:12" s="106" customFormat="1" ht="15.75" hidden="1" customHeight="1" outlineLevel="1">
      <c r="A543" s="932"/>
      <c r="B543" s="1087"/>
      <c r="C543" s="1096"/>
      <c r="D543" s="1092"/>
      <c r="E543" s="1092"/>
      <c r="F543" s="1094"/>
      <c r="G543" s="103"/>
      <c r="H543" s="840"/>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839"/>
      <c r="I544" s="1091"/>
      <c r="J544" s="1083"/>
      <c r="K544" s="1083"/>
      <c r="L544" s="932"/>
    </row>
    <row r="545" spans="1:12" s="106" customFormat="1" ht="15.75" hidden="1" customHeight="1" outlineLevel="1">
      <c r="A545" s="932"/>
      <c r="B545" s="1086"/>
      <c r="C545" s="1095"/>
      <c r="D545" s="1091"/>
      <c r="E545" s="1091"/>
      <c r="F545" s="1093"/>
      <c r="G545" s="98"/>
      <c r="H545" s="839"/>
      <c r="I545" s="1091"/>
      <c r="J545" s="1084"/>
      <c r="K545" s="1084"/>
      <c r="L545" s="932"/>
    </row>
    <row r="546" spans="1:12" s="106" customFormat="1" ht="15.75" hidden="1" customHeight="1" outlineLevel="1">
      <c r="A546" s="932"/>
      <c r="B546" s="1087"/>
      <c r="C546" s="1096"/>
      <c r="D546" s="1092"/>
      <c r="E546" s="1092"/>
      <c r="F546" s="1094"/>
      <c r="G546" s="103"/>
      <c r="H546" s="840"/>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839"/>
      <c r="I547" s="1091"/>
      <c r="J547" s="1083"/>
      <c r="K547" s="1083"/>
      <c r="L547" s="932"/>
    </row>
    <row r="548" spans="1:12" s="106" customFormat="1" ht="15.75" hidden="1" customHeight="1" outlineLevel="1">
      <c r="A548" s="932"/>
      <c r="B548" s="1086"/>
      <c r="C548" s="1095"/>
      <c r="D548" s="1091"/>
      <c r="E548" s="1091"/>
      <c r="F548" s="1093"/>
      <c r="G548" s="98"/>
      <c r="H548" s="839"/>
      <c r="I548" s="1091"/>
      <c r="J548" s="1084"/>
      <c r="K548" s="1084"/>
      <c r="L548" s="932"/>
    </row>
    <row r="549" spans="1:12" s="106" customFormat="1" ht="15.75" hidden="1" customHeight="1" outlineLevel="1">
      <c r="A549" s="932"/>
      <c r="B549" s="1087"/>
      <c r="C549" s="1096"/>
      <c r="D549" s="1092"/>
      <c r="E549" s="1092"/>
      <c r="F549" s="1094"/>
      <c r="G549" s="103"/>
      <c r="H549" s="840"/>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839"/>
      <c r="I550" s="1091"/>
      <c r="J550" s="1083"/>
      <c r="K550" s="1083"/>
      <c r="L550" s="932"/>
    </row>
    <row r="551" spans="1:12" s="106" customFormat="1" ht="15.75" hidden="1" customHeight="1" outlineLevel="1">
      <c r="A551" s="932"/>
      <c r="B551" s="1086"/>
      <c r="C551" s="1095"/>
      <c r="D551" s="1091"/>
      <c r="E551" s="1091"/>
      <c r="F551" s="1093"/>
      <c r="G551" s="98"/>
      <c r="H551" s="839"/>
      <c r="I551" s="1091"/>
      <c r="J551" s="1084"/>
      <c r="K551" s="1084"/>
      <c r="L551" s="932"/>
    </row>
    <row r="552" spans="1:12" s="106" customFormat="1" ht="15.75" hidden="1" customHeight="1" outlineLevel="1">
      <c r="A552" s="932"/>
      <c r="B552" s="1087"/>
      <c r="C552" s="1096"/>
      <c r="D552" s="1092"/>
      <c r="E552" s="1092"/>
      <c r="F552" s="1094"/>
      <c r="G552" s="103"/>
      <c r="H552" s="840"/>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839"/>
      <c r="I553" s="1091"/>
      <c r="J553" s="1083"/>
      <c r="K553" s="1083"/>
      <c r="L553" s="932"/>
    </row>
    <row r="554" spans="1:12" s="106" customFormat="1" ht="15.75" hidden="1" customHeight="1" outlineLevel="1">
      <c r="A554" s="932"/>
      <c r="B554" s="1086"/>
      <c r="C554" s="1095"/>
      <c r="D554" s="1091"/>
      <c r="E554" s="1091"/>
      <c r="F554" s="1093"/>
      <c r="G554" s="98"/>
      <c r="H554" s="839"/>
      <c r="I554" s="1091"/>
      <c r="J554" s="1084"/>
      <c r="K554" s="1084"/>
      <c r="L554" s="932"/>
    </row>
    <row r="555" spans="1:12" s="106" customFormat="1" ht="15.75" hidden="1" customHeight="1" outlineLevel="1">
      <c r="A555" s="932"/>
      <c r="B555" s="1087"/>
      <c r="C555" s="1096"/>
      <c r="D555" s="1092"/>
      <c r="E555" s="1092"/>
      <c r="F555" s="1094"/>
      <c r="G555" s="103"/>
      <c r="H555" s="840"/>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839"/>
      <c r="I556" s="1091"/>
      <c r="J556" s="1083"/>
      <c r="K556" s="1083"/>
      <c r="L556" s="932"/>
    </row>
    <row r="557" spans="1:12" s="106" customFormat="1" ht="15.75" hidden="1" customHeight="1" outlineLevel="1">
      <c r="A557" s="932"/>
      <c r="B557" s="1086"/>
      <c r="C557" s="1095"/>
      <c r="D557" s="1091"/>
      <c r="E557" s="1091"/>
      <c r="F557" s="1093"/>
      <c r="G557" s="98"/>
      <c r="H557" s="839"/>
      <c r="I557" s="1091"/>
      <c r="J557" s="1084"/>
      <c r="K557" s="1084"/>
      <c r="L557" s="932"/>
    </row>
    <row r="558" spans="1:12" s="106" customFormat="1" ht="15.75" hidden="1" customHeight="1" outlineLevel="1">
      <c r="A558" s="932"/>
      <c r="B558" s="1087"/>
      <c r="C558" s="1096"/>
      <c r="D558" s="1092"/>
      <c r="E558" s="1092"/>
      <c r="F558" s="1094"/>
      <c r="G558" s="103"/>
      <c r="H558" s="840"/>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839"/>
      <c r="I559" s="1091"/>
      <c r="J559" s="1083"/>
      <c r="K559" s="1083"/>
      <c r="L559" s="932"/>
    </row>
    <row r="560" spans="1:12" s="106" customFormat="1" ht="15.75" hidden="1" customHeight="1" outlineLevel="1">
      <c r="A560" s="932"/>
      <c r="B560" s="1086"/>
      <c r="C560" s="1095"/>
      <c r="D560" s="1091"/>
      <c r="E560" s="1091"/>
      <c r="F560" s="1093"/>
      <c r="G560" s="98"/>
      <c r="H560" s="839"/>
      <c r="I560" s="1091"/>
      <c r="J560" s="1084"/>
      <c r="K560" s="1084"/>
      <c r="L560" s="932"/>
    </row>
    <row r="561" spans="1:12" s="106" customFormat="1" ht="15.75" hidden="1" customHeight="1" outlineLevel="1">
      <c r="A561" s="932"/>
      <c r="B561" s="1087"/>
      <c r="C561" s="1096"/>
      <c r="D561" s="1092"/>
      <c r="E561" s="1092"/>
      <c r="F561" s="1094"/>
      <c r="G561" s="103"/>
      <c r="H561" s="840"/>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839"/>
      <c r="I562" s="1091"/>
      <c r="J562" s="1083"/>
      <c r="K562" s="1083"/>
      <c r="L562" s="932"/>
    </row>
    <row r="563" spans="1:12" s="106" customFormat="1" ht="15.75" hidden="1" customHeight="1" outlineLevel="1">
      <c r="A563" s="932"/>
      <c r="B563" s="1086"/>
      <c r="C563" s="1095"/>
      <c r="D563" s="1091"/>
      <c r="E563" s="1091"/>
      <c r="F563" s="1093"/>
      <c r="G563" s="98"/>
      <c r="H563" s="839"/>
      <c r="I563" s="1091"/>
      <c r="J563" s="1084"/>
      <c r="K563" s="1084"/>
      <c r="L563" s="932"/>
    </row>
    <row r="564" spans="1:12" s="106" customFormat="1" ht="15.75" hidden="1" customHeight="1" outlineLevel="1">
      <c r="A564" s="932"/>
      <c r="B564" s="1087"/>
      <c r="C564" s="1096"/>
      <c r="D564" s="1092"/>
      <c r="E564" s="1092"/>
      <c r="F564" s="1094"/>
      <c r="G564" s="103"/>
      <c r="H564" s="840"/>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839"/>
      <c r="I565" s="1091"/>
      <c r="J565" s="1083"/>
      <c r="K565" s="1083"/>
      <c r="L565" s="932"/>
    </row>
    <row r="566" spans="1:12" s="106" customFormat="1" ht="15.75" hidden="1" customHeight="1" outlineLevel="1">
      <c r="A566" s="932"/>
      <c r="B566" s="1086"/>
      <c r="C566" s="1095"/>
      <c r="D566" s="1091"/>
      <c r="E566" s="1091"/>
      <c r="F566" s="1093"/>
      <c r="G566" s="98"/>
      <c r="H566" s="839"/>
      <c r="I566" s="1091"/>
      <c r="J566" s="1084"/>
      <c r="K566" s="1084"/>
      <c r="L566" s="932"/>
    </row>
    <row r="567" spans="1:12" s="106" customFormat="1" ht="15.75" hidden="1" customHeight="1" outlineLevel="1">
      <c r="A567" s="932"/>
      <c r="B567" s="1087"/>
      <c r="C567" s="1096"/>
      <c r="D567" s="1092"/>
      <c r="E567" s="1092"/>
      <c r="F567" s="1094"/>
      <c r="G567" s="103"/>
      <c r="H567" s="840"/>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839"/>
      <c r="I568" s="1091"/>
      <c r="J568" s="1083"/>
      <c r="K568" s="1083"/>
      <c r="L568" s="932"/>
    </row>
    <row r="569" spans="1:12" s="106" customFormat="1" ht="15.75" hidden="1" customHeight="1" outlineLevel="1">
      <c r="A569" s="932"/>
      <c r="B569" s="1086"/>
      <c r="C569" s="1095"/>
      <c r="D569" s="1091"/>
      <c r="E569" s="1091"/>
      <c r="F569" s="1093"/>
      <c r="G569" s="98"/>
      <c r="H569" s="839"/>
      <c r="I569" s="1091"/>
      <c r="J569" s="1084"/>
      <c r="K569" s="1084"/>
      <c r="L569" s="932"/>
    </row>
    <row r="570" spans="1:12" s="106" customFormat="1" ht="15.75" hidden="1" customHeight="1" outlineLevel="1">
      <c r="A570" s="932"/>
      <c r="B570" s="1087"/>
      <c r="C570" s="1096"/>
      <c r="D570" s="1092"/>
      <c r="E570" s="1092"/>
      <c r="F570" s="1094"/>
      <c r="G570" s="103"/>
      <c r="H570" s="840"/>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839"/>
      <c r="I571" s="1091"/>
      <c r="J571" s="1083"/>
      <c r="K571" s="1083"/>
      <c r="L571" s="932"/>
    </row>
    <row r="572" spans="1:12" s="106" customFormat="1" ht="15.75" hidden="1" customHeight="1" outlineLevel="1">
      <c r="A572" s="932"/>
      <c r="B572" s="1086"/>
      <c r="C572" s="1095"/>
      <c r="D572" s="1091"/>
      <c r="E572" s="1091"/>
      <c r="F572" s="1093"/>
      <c r="G572" s="98"/>
      <c r="H572" s="839"/>
      <c r="I572" s="1091"/>
      <c r="J572" s="1084"/>
      <c r="K572" s="1084"/>
      <c r="L572" s="932"/>
    </row>
    <row r="573" spans="1:12" s="106" customFormat="1" ht="15.75" hidden="1" customHeight="1" outlineLevel="1">
      <c r="A573" s="932"/>
      <c r="B573" s="1087"/>
      <c r="C573" s="1096"/>
      <c r="D573" s="1092"/>
      <c r="E573" s="1092"/>
      <c r="F573" s="1094"/>
      <c r="G573" s="103"/>
      <c r="H573" s="840"/>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839"/>
      <c r="I574" s="1091"/>
      <c r="J574" s="1083"/>
      <c r="K574" s="1083"/>
      <c r="L574" s="932"/>
    </row>
    <row r="575" spans="1:12" s="106" customFormat="1" ht="15.75" hidden="1" customHeight="1" outlineLevel="1">
      <c r="A575" s="932"/>
      <c r="B575" s="1086"/>
      <c r="C575" s="1095"/>
      <c r="D575" s="1091"/>
      <c r="E575" s="1091"/>
      <c r="F575" s="1093"/>
      <c r="G575" s="98"/>
      <c r="H575" s="839"/>
      <c r="I575" s="1091"/>
      <c r="J575" s="1084"/>
      <c r="K575" s="1084"/>
      <c r="L575" s="932"/>
    </row>
    <row r="576" spans="1:12" s="106" customFormat="1" ht="15.75" hidden="1" customHeight="1" outlineLevel="1">
      <c r="A576" s="932"/>
      <c r="B576" s="1087"/>
      <c r="C576" s="1096"/>
      <c r="D576" s="1092"/>
      <c r="E576" s="1092"/>
      <c r="F576" s="1094"/>
      <c r="G576" s="103"/>
      <c r="H576" s="840"/>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839"/>
      <c r="I577" s="1091"/>
      <c r="J577" s="1083"/>
      <c r="K577" s="1083"/>
      <c r="L577" s="932"/>
    </row>
    <row r="578" spans="1:12" s="106" customFormat="1" ht="15.75" hidden="1" customHeight="1" outlineLevel="1">
      <c r="A578" s="932"/>
      <c r="B578" s="1086"/>
      <c r="C578" s="1095"/>
      <c r="D578" s="1091"/>
      <c r="E578" s="1091"/>
      <c r="F578" s="1093"/>
      <c r="G578" s="98"/>
      <c r="H578" s="839"/>
      <c r="I578" s="1091"/>
      <c r="J578" s="1084"/>
      <c r="K578" s="1084"/>
      <c r="L578" s="932"/>
    </row>
    <row r="579" spans="1:12" s="106" customFormat="1" ht="15.75" hidden="1" customHeight="1" outlineLevel="1">
      <c r="A579" s="932"/>
      <c r="B579" s="1087"/>
      <c r="C579" s="1096"/>
      <c r="D579" s="1092"/>
      <c r="E579" s="1092"/>
      <c r="F579" s="1094"/>
      <c r="G579" s="103"/>
      <c r="H579" s="840"/>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839"/>
      <c r="I580" s="1091"/>
      <c r="J580" s="1083"/>
      <c r="K580" s="1083"/>
      <c r="L580" s="932"/>
    </row>
    <row r="581" spans="1:12" s="106" customFormat="1" ht="15.75" hidden="1" customHeight="1" outlineLevel="1">
      <c r="A581" s="932"/>
      <c r="B581" s="1086"/>
      <c r="C581" s="1095"/>
      <c r="D581" s="1091"/>
      <c r="E581" s="1091"/>
      <c r="F581" s="1093"/>
      <c r="G581" s="98"/>
      <c r="H581" s="839"/>
      <c r="I581" s="1091"/>
      <c r="J581" s="1084"/>
      <c r="K581" s="1084"/>
      <c r="L581" s="932"/>
    </row>
    <row r="582" spans="1:12" s="106" customFormat="1" ht="15.75" hidden="1" customHeight="1" outlineLevel="1">
      <c r="A582" s="932"/>
      <c r="B582" s="1087"/>
      <c r="C582" s="1096"/>
      <c r="D582" s="1092"/>
      <c r="E582" s="1092"/>
      <c r="F582" s="1094"/>
      <c r="G582" s="103"/>
      <c r="H582" s="840"/>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839"/>
      <c r="I583" s="1091"/>
      <c r="J583" s="1083"/>
      <c r="K583" s="1083"/>
      <c r="L583" s="932"/>
    </row>
    <row r="584" spans="1:12" s="106" customFormat="1" ht="15.75" hidden="1" customHeight="1" outlineLevel="1">
      <c r="A584" s="932"/>
      <c r="B584" s="1086"/>
      <c r="C584" s="1095"/>
      <c r="D584" s="1091"/>
      <c r="E584" s="1091"/>
      <c r="F584" s="1093"/>
      <c r="G584" s="98"/>
      <c r="H584" s="839"/>
      <c r="I584" s="1091"/>
      <c r="J584" s="1084"/>
      <c r="K584" s="1084"/>
      <c r="L584" s="932"/>
    </row>
    <row r="585" spans="1:12" s="106" customFormat="1" ht="15.75" hidden="1" customHeight="1" outlineLevel="1">
      <c r="A585" s="932"/>
      <c r="B585" s="1087"/>
      <c r="C585" s="1096"/>
      <c r="D585" s="1092"/>
      <c r="E585" s="1092"/>
      <c r="F585" s="1094"/>
      <c r="G585" s="103"/>
      <c r="H585" s="840"/>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839"/>
      <c r="I586" s="1091"/>
      <c r="J586" s="1083"/>
      <c r="K586" s="1083"/>
      <c r="L586" s="932"/>
    </row>
    <row r="587" spans="1:12" s="106" customFormat="1" ht="15.75" hidden="1" customHeight="1" outlineLevel="1">
      <c r="A587" s="932"/>
      <c r="B587" s="1086"/>
      <c r="C587" s="1095"/>
      <c r="D587" s="1091"/>
      <c r="E587" s="1091"/>
      <c r="F587" s="1093"/>
      <c r="G587" s="98"/>
      <c r="H587" s="839"/>
      <c r="I587" s="1091"/>
      <c r="J587" s="1084"/>
      <c r="K587" s="1084"/>
      <c r="L587" s="932"/>
    </row>
    <row r="588" spans="1:12" s="106" customFormat="1" ht="15.75" hidden="1" customHeight="1" outlineLevel="1">
      <c r="A588" s="932"/>
      <c r="B588" s="1087"/>
      <c r="C588" s="1096"/>
      <c r="D588" s="1092"/>
      <c r="E588" s="1092"/>
      <c r="F588" s="1094"/>
      <c r="G588" s="103"/>
      <c r="H588" s="840"/>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839"/>
      <c r="I589" s="1091"/>
      <c r="J589" s="1083"/>
      <c r="K589" s="1083"/>
      <c r="L589" s="932"/>
    </row>
    <row r="590" spans="1:12" s="106" customFormat="1" ht="15.75" hidden="1" customHeight="1" outlineLevel="1">
      <c r="A590" s="932"/>
      <c r="B590" s="1086"/>
      <c r="C590" s="1095"/>
      <c r="D590" s="1091"/>
      <c r="E590" s="1091"/>
      <c r="F590" s="1093"/>
      <c r="G590" s="98"/>
      <c r="H590" s="839"/>
      <c r="I590" s="1091"/>
      <c r="J590" s="1084"/>
      <c r="K590" s="1084"/>
      <c r="L590" s="932"/>
    </row>
    <row r="591" spans="1:12" s="106" customFormat="1" ht="15.75" hidden="1" customHeight="1" outlineLevel="1">
      <c r="A591" s="932"/>
      <c r="B591" s="1087"/>
      <c r="C591" s="1096"/>
      <c r="D591" s="1092"/>
      <c r="E591" s="1092"/>
      <c r="F591" s="1094"/>
      <c r="G591" s="103"/>
      <c r="H591" s="840"/>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839"/>
      <c r="I592" s="1091"/>
      <c r="J592" s="1083"/>
      <c r="K592" s="1083"/>
      <c r="L592" s="932"/>
    </row>
    <row r="593" spans="1:12" s="106" customFormat="1" ht="15.75" hidden="1" customHeight="1" outlineLevel="1">
      <c r="A593" s="932"/>
      <c r="B593" s="1086"/>
      <c r="C593" s="1095"/>
      <c r="D593" s="1091"/>
      <c r="E593" s="1091"/>
      <c r="F593" s="1093"/>
      <c r="G593" s="98"/>
      <c r="H593" s="839"/>
      <c r="I593" s="1091"/>
      <c r="J593" s="1084"/>
      <c r="K593" s="1084"/>
      <c r="L593" s="932"/>
    </row>
    <row r="594" spans="1:12" s="106" customFormat="1" ht="15.75" hidden="1" customHeight="1" outlineLevel="1">
      <c r="A594" s="932"/>
      <c r="B594" s="1087"/>
      <c r="C594" s="1096"/>
      <c r="D594" s="1092"/>
      <c r="E594" s="1092"/>
      <c r="F594" s="1094"/>
      <c r="G594" s="103"/>
      <c r="H594" s="840"/>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839"/>
      <c r="I595" s="1091"/>
      <c r="J595" s="1083"/>
      <c r="K595" s="1083"/>
      <c r="L595" s="932"/>
    </row>
    <row r="596" spans="1:12" s="106" customFormat="1" ht="15.75" hidden="1" customHeight="1" outlineLevel="1">
      <c r="A596" s="932"/>
      <c r="B596" s="1086"/>
      <c r="C596" s="1095"/>
      <c r="D596" s="1091"/>
      <c r="E596" s="1091"/>
      <c r="F596" s="1093"/>
      <c r="G596" s="98"/>
      <c r="H596" s="839"/>
      <c r="I596" s="1091"/>
      <c r="J596" s="1084"/>
      <c r="K596" s="1084"/>
      <c r="L596" s="932"/>
    </row>
    <row r="597" spans="1:12" s="106" customFormat="1" ht="15.75" hidden="1" customHeight="1" outlineLevel="1">
      <c r="A597" s="932"/>
      <c r="B597" s="1087"/>
      <c r="C597" s="1096"/>
      <c r="D597" s="1092"/>
      <c r="E597" s="1092"/>
      <c r="F597" s="1094"/>
      <c r="G597" s="103"/>
      <c r="H597" s="840"/>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839"/>
      <c r="I598" s="1091"/>
      <c r="J598" s="1083"/>
      <c r="K598" s="1083"/>
      <c r="L598" s="932"/>
    </row>
    <row r="599" spans="1:12" s="106" customFormat="1" ht="15.75" hidden="1" customHeight="1" outlineLevel="1">
      <c r="A599" s="932"/>
      <c r="B599" s="1086"/>
      <c r="C599" s="1095"/>
      <c r="D599" s="1091"/>
      <c r="E599" s="1091"/>
      <c r="F599" s="1093"/>
      <c r="G599" s="98"/>
      <c r="H599" s="839"/>
      <c r="I599" s="1091"/>
      <c r="J599" s="1084"/>
      <c r="K599" s="1084"/>
      <c r="L599" s="932"/>
    </row>
    <row r="600" spans="1:12" s="106" customFormat="1" ht="15.75" hidden="1" customHeight="1" outlineLevel="1">
      <c r="A600" s="932"/>
      <c r="B600" s="1087"/>
      <c r="C600" s="1096"/>
      <c r="D600" s="1092"/>
      <c r="E600" s="1092"/>
      <c r="F600" s="1094"/>
      <c r="G600" s="103"/>
      <c r="H600" s="840"/>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839"/>
      <c r="I601" s="1091"/>
      <c r="J601" s="1083"/>
      <c r="K601" s="1083"/>
      <c r="L601" s="932"/>
    </row>
    <row r="602" spans="1:12" s="106" customFormat="1" ht="15.75" hidden="1" customHeight="1" outlineLevel="1">
      <c r="A602" s="932"/>
      <c r="B602" s="1086"/>
      <c r="C602" s="1095"/>
      <c r="D602" s="1091"/>
      <c r="E602" s="1091"/>
      <c r="F602" s="1093"/>
      <c r="G602" s="98"/>
      <c r="H602" s="839"/>
      <c r="I602" s="1091"/>
      <c r="J602" s="1084"/>
      <c r="K602" s="1084"/>
      <c r="L602" s="932"/>
    </row>
    <row r="603" spans="1:12" s="106" customFormat="1" ht="15.75" hidden="1" customHeight="1" outlineLevel="1">
      <c r="A603" s="932"/>
      <c r="B603" s="1087"/>
      <c r="C603" s="1096"/>
      <c r="D603" s="1092"/>
      <c r="E603" s="1092"/>
      <c r="F603" s="1094"/>
      <c r="G603" s="103"/>
      <c r="H603" s="840"/>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839"/>
      <c r="I604" s="1091"/>
      <c r="J604" s="1083"/>
      <c r="K604" s="1083"/>
      <c r="L604" s="932"/>
    </row>
    <row r="605" spans="1:12" s="106" customFormat="1" ht="15.75" hidden="1" customHeight="1" outlineLevel="1">
      <c r="A605" s="932"/>
      <c r="B605" s="1086"/>
      <c r="C605" s="1095"/>
      <c r="D605" s="1091"/>
      <c r="E605" s="1091"/>
      <c r="F605" s="1093"/>
      <c r="G605" s="98"/>
      <c r="H605" s="839"/>
      <c r="I605" s="1091"/>
      <c r="J605" s="1084"/>
      <c r="K605" s="1084"/>
      <c r="L605" s="932"/>
    </row>
    <row r="606" spans="1:12" s="106" customFormat="1" ht="15.75" hidden="1" customHeight="1" outlineLevel="1">
      <c r="A606" s="932"/>
      <c r="B606" s="1087"/>
      <c r="C606" s="1096"/>
      <c r="D606" s="1092"/>
      <c r="E606" s="1092"/>
      <c r="F606" s="1094"/>
      <c r="G606" s="103"/>
      <c r="H606" s="840"/>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839"/>
      <c r="I607" s="1091"/>
      <c r="J607" s="1083"/>
      <c r="K607" s="1083"/>
      <c r="L607" s="932"/>
    </row>
    <row r="608" spans="1:12" s="106" customFormat="1" ht="15.75" hidden="1" customHeight="1" outlineLevel="1">
      <c r="A608" s="932"/>
      <c r="B608" s="1086"/>
      <c r="C608" s="1095"/>
      <c r="D608" s="1091"/>
      <c r="E608" s="1091"/>
      <c r="F608" s="1093"/>
      <c r="G608" s="98"/>
      <c r="H608" s="839"/>
      <c r="I608" s="1091"/>
      <c r="J608" s="1084"/>
      <c r="K608" s="1084"/>
      <c r="L608" s="932"/>
    </row>
    <row r="609" spans="1:12" s="106" customFormat="1" ht="15.75" hidden="1" customHeight="1" outlineLevel="1">
      <c r="A609" s="932"/>
      <c r="B609" s="1087"/>
      <c r="C609" s="1096"/>
      <c r="D609" s="1092"/>
      <c r="E609" s="1092"/>
      <c r="F609" s="1094"/>
      <c r="G609" s="103"/>
      <c r="H609" s="840"/>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row>
    <row r="611" spans="1:12" s="106" customFormat="1" ht="15.75" hidden="1" customHeight="1" outlineLevel="1">
      <c r="A611" s="932"/>
      <c r="B611" s="1086"/>
      <c r="C611" s="1089"/>
      <c r="D611" s="1091"/>
      <c r="E611" s="1091"/>
      <c r="F611" s="1093"/>
      <c r="G611" s="98"/>
      <c r="H611" s="839"/>
      <c r="I611" s="1091"/>
      <c r="J611" s="1084"/>
      <c r="K611" s="1084"/>
      <c r="L611" s="932"/>
    </row>
    <row r="612" spans="1:12" s="106" customFormat="1" ht="15.75" hidden="1" customHeight="1" outlineLevel="1" thickBot="1">
      <c r="A612" s="932"/>
      <c r="B612" s="1087"/>
      <c r="C612" s="1090"/>
      <c r="D612" s="1092"/>
      <c r="E612" s="1092"/>
      <c r="F612" s="1094"/>
      <c r="G612" s="103"/>
      <c r="H612" s="840"/>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xr:uid="{00000000-0002-0000-1200-000000000000}">
      <formula1>$N$13:$N$17</formula1>
    </dataValidation>
  </dataValidations>
  <hyperlinks>
    <hyperlink ref="C1" location="Spis!B44" display="&gt;&gt; powrót do spisu treści" xr:uid="{00000000-0004-0000-12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pageSetUpPr fitToPage="1"/>
  </sheetPr>
  <dimension ref="A1:N88"/>
  <sheetViews>
    <sheetView tabSelected="1" zoomScale="90" zoomScaleNormal="90" workbookViewId="0">
      <selection activeCell="B59" sqref="B59"/>
    </sheetView>
  </sheetViews>
  <sheetFormatPr defaultColWidth="8.90625" defaultRowHeight="13.8"/>
  <cols>
    <col min="1" max="1" width="3.81640625" style="198" customWidth="1"/>
    <col min="2" max="2" width="111.81640625" style="198" customWidth="1"/>
    <col min="3" max="3" width="10.81640625" style="198" customWidth="1"/>
    <col min="4" max="16384" width="8.90625" style="198"/>
  </cols>
  <sheetData>
    <row r="1" spans="1:14" ht="15.6" thickBot="1">
      <c r="A1" s="197"/>
      <c r="B1" s="849"/>
    </row>
    <row r="2" spans="1:14" ht="20.100000000000001" customHeight="1" thickTop="1">
      <c r="A2" s="820" t="str">
        <f>'Tab.G1.1-4'!$B$8</f>
        <v>LP</v>
      </c>
      <c r="B2" s="817" t="s">
        <v>1</v>
      </c>
      <c r="C2" s="199"/>
      <c r="D2" s="199"/>
      <c r="E2" s="199"/>
      <c r="F2" s="199"/>
      <c r="G2" s="199"/>
      <c r="H2" s="199"/>
      <c r="I2" s="199"/>
      <c r="J2" s="199"/>
      <c r="K2" s="199"/>
      <c r="L2" s="199"/>
      <c r="M2" s="199"/>
      <c r="N2" s="199"/>
    </row>
    <row r="3" spans="1:14" ht="20.100000000000001" customHeight="1">
      <c r="A3" s="818">
        <v>1</v>
      </c>
      <c r="B3" s="848" t="str">
        <f>'Tab.G1.1-4'!$B$7</f>
        <v>Tabela G1.1. Wykonane nakłady inwestycyjne w zakresie dystrybucji paliw gazowych</v>
      </c>
      <c r="C3" s="34"/>
    </row>
    <row r="4" spans="1:14" ht="20.100000000000001" customHeight="1">
      <c r="A4" s="818">
        <v>2</v>
      </c>
      <c r="B4" s="848" t="str">
        <f>'Tab.G1.1-4'!$B$33</f>
        <v>Tabela G1.2. Struktura wykonanych nakładów inwestycyjnych w zakresie dystrybucji paliw gazowych</v>
      </c>
      <c r="C4" s="34"/>
    </row>
    <row r="5" spans="1:14" ht="20.100000000000001" customHeight="1">
      <c r="A5" s="818">
        <v>3</v>
      </c>
      <c r="B5" s="848" t="str">
        <f>'Tab.G1.1-4'!$B$59</f>
        <v>Tabela G1.3. Nakłady w rozbiciu na poszczególne rodzaje paliw gazowych</v>
      </c>
      <c r="C5" s="34"/>
    </row>
    <row r="6" spans="1:14" ht="20.100000000000001" customHeight="1">
      <c r="A6" s="818">
        <v>4</v>
      </c>
      <c r="B6" s="848" t="str">
        <f>'Tab.G1.1-4'!B71</f>
        <v>Tabela G1.4. Poniesione nakłady inwestycyjne na Program, o którym mowa w ustawie o elektromobilności</v>
      </c>
      <c r="C6" s="34"/>
    </row>
    <row r="7" spans="1:14" ht="20.100000000000001" customHeight="1">
      <c r="A7" s="818">
        <v>5</v>
      </c>
      <c r="B7" s="848" t="str">
        <f>'Tab.G2.1-3'!$B$6</f>
        <v>Tabela G2.1. Poniesione nakłady na przyłączenia nowych odbiorców (sieci i przyłącza)</v>
      </c>
      <c r="C7" s="34"/>
    </row>
    <row r="8" spans="1:14" ht="20.100000000000001" customHeight="1">
      <c r="A8" s="818">
        <v>6</v>
      </c>
      <c r="B8" s="848" t="str">
        <f>'Tab.G2.1-3'!$B$68</f>
        <v>Tabela G2.2. Zakres rzeczowy wykonanych nakładów na przyłączenia nowych odbiorców (sieci i przyłącza)</v>
      </c>
      <c r="C8" s="34"/>
    </row>
    <row r="9" spans="1:14" ht="20.100000000000001" customHeight="1">
      <c r="A9" s="818">
        <v>7</v>
      </c>
      <c r="B9" s="848" t="str">
        <f>'Tab.G2.1-3'!$B$130</f>
        <v>Tabela G2.3. Jednostkowe nakłady na przyłączenia nowych odbiorców (sieci i przyłącza)</v>
      </c>
      <c r="C9" s="34"/>
    </row>
    <row r="10" spans="1:14" ht="20.100000000000001" customHeight="1">
      <c r="A10" s="818">
        <v>8</v>
      </c>
      <c r="B10" s="848" t="str">
        <f>'Tab.G2.1E-6E'!$B$8</f>
        <v>Tabela G2.1E. Poniesione nakłady na przyłączenia nowych stacji CNG (sieci i przyłącza)</v>
      </c>
      <c r="C10" s="34"/>
    </row>
    <row r="11" spans="1:14" ht="20.100000000000001" customHeight="1">
      <c r="A11" s="818">
        <v>9</v>
      </c>
      <c r="B11" s="848" t="str">
        <f>'Tab.G2.1E-6E'!$B$70</f>
        <v>Tabela G2.2E. Zakres rzeczowy wykonanych nakładów na przyłączenia nowych stacji CNG (sieci i przyłącza)</v>
      </c>
      <c r="C11" s="34"/>
    </row>
    <row r="12" spans="1:14" ht="20.100000000000001" customHeight="1">
      <c r="A12" s="818">
        <v>10</v>
      </c>
      <c r="B12" s="848" t="str">
        <f>'Tab.G2.1E-6E'!$B$132</f>
        <v>Tabela G2.3E. Jednostkowe nakłady na przyłączenia nowych stacji CNG (sieci i przyłącza)</v>
      </c>
      <c r="C12" s="34"/>
    </row>
    <row r="13" spans="1:14" ht="20.100000000000001" customHeight="1">
      <c r="A13" s="818">
        <v>11</v>
      </c>
      <c r="B13" s="848" t="str">
        <f>'Tab.G2.1E-6E'!$B$194</f>
        <v>Tabela G2.4E. Poniesione nakłady na budowę nowych stacji CNG i LCNG (infrastruktura wewnętrzna stacji)</v>
      </c>
      <c r="C13" s="34"/>
    </row>
    <row r="14" spans="1:14" ht="20.100000000000001" customHeight="1">
      <c r="A14" s="818">
        <v>12</v>
      </c>
      <c r="B14" s="848" t="str">
        <f>'Tab.G2.1E-6E'!$B$209</f>
        <v>Tabela G2.5E. Liczba zbudowanych nowych stacji CNG i LCNG oraz punktów tankowania</v>
      </c>
      <c r="C14" s="34"/>
    </row>
    <row r="15" spans="1:14" ht="20.100000000000001" customHeight="1">
      <c r="A15" s="818">
        <v>13</v>
      </c>
      <c r="B15" s="848" t="str">
        <f>'Tab.G2.1E-6E'!$B$224</f>
        <v>Tabela G2.6E. Jednostkowe nakłady na budowę nowych stacji CNG i LCNG (infrastruktura wewnętrzna stacji)</v>
      </c>
      <c r="C15" s="34"/>
    </row>
    <row r="16" spans="1:14" ht="20.100000000000001" customHeight="1">
      <c r="A16" s="818">
        <v>14</v>
      </c>
      <c r="B16" s="848" t="str">
        <f>'Tab.G3.1-5'!$B$10</f>
        <v>Tabela G3.1. Nakłady na przyłączenia nowych odbiorców w rozbiciu na grupy przyłączeniowe</v>
      </c>
      <c r="C16" s="34"/>
    </row>
    <row r="17" spans="1:3" ht="20.100000000000001" customHeight="1">
      <c r="A17" s="818">
        <v>15</v>
      </c>
      <c r="B17" s="848" t="str">
        <f>'Tab.G3.1-5'!$B$21</f>
        <v>Tabela G3.2. Nakłady na przyłącza dla nowych odbiorców w rozbiciu na grupy przyłączeniowe</v>
      </c>
      <c r="C17" s="34"/>
    </row>
    <row r="18" spans="1:3" ht="20.100000000000001" customHeight="1">
      <c r="A18" s="818">
        <v>16</v>
      </c>
      <c r="B18" s="848" t="str">
        <f>'Tab.G3.1-5'!$B$32</f>
        <v>Tabela G3.3. Zakres rzeczowy nowych przyłączy zrealizowanych w danym roku</v>
      </c>
      <c r="C18" s="34"/>
    </row>
    <row r="19" spans="1:3" ht="20.100000000000001" customHeight="1">
      <c r="A19" s="818">
        <v>17</v>
      </c>
      <c r="B19" s="848" t="str">
        <f>'Tab.G3.1-5'!$B$61</f>
        <v>Tabela G3.4. Jednostkowe nakłady na przyłączenia w rozbiciu na grupy przyłączeniowe</v>
      </c>
      <c r="C19" s="34"/>
    </row>
    <row r="20" spans="1:3" ht="20.100000000000001" customHeight="1">
      <c r="A20" s="818">
        <v>18</v>
      </c>
      <c r="B20" s="848" t="str">
        <f>'Tab.G3.1-5'!$B$87</f>
        <v>Tabela G3.5. Jednostkowe nakłady na przyłącza w rozbiciu na grupy przyłączeniowe</v>
      </c>
      <c r="C20" s="34"/>
    </row>
    <row r="21" spans="1:3" ht="20.100000000000001" customHeight="1">
      <c r="A21" s="818">
        <v>19</v>
      </c>
      <c r="B21" s="848" t="str">
        <f>'Tab.G3.1E-5E'!$B$10</f>
        <v>Tabela G3.1E. Nakłady na przyłączenia nowych stacji CNG w rozbiciu na grupy przyłączeniowe</v>
      </c>
      <c r="C21" s="34"/>
    </row>
    <row r="22" spans="1:3" ht="20.100000000000001" customHeight="1">
      <c r="A22" s="818">
        <v>20</v>
      </c>
      <c r="B22" s="848" t="str">
        <f>'Tab.G3.1E-5E'!$B$21</f>
        <v>Tabela G3.2E. Nakłady na przyłącza dla nowych stacji CNG w rozbiciu na grupy przyłączeniowe</v>
      </c>
      <c r="C22" s="34"/>
    </row>
    <row r="23" spans="1:3" ht="20.100000000000001" customHeight="1">
      <c r="A23" s="818">
        <v>21</v>
      </c>
      <c r="B23" s="848" t="str">
        <f>'Tab.G3.1E-5E'!$B$32</f>
        <v>Tabela G3.3E. Zakres rzeczowy nowych przyłączy dla stacji CNG zrealizowanych w danym roku</v>
      </c>
      <c r="C23" s="34"/>
    </row>
    <row r="24" spans="1:3" ht="20.100000000000001" customHeight="1">
      <c r="A24" s="818">
        <v>22</v>
      </c>
      <c r="B24" s="848" t="str">
        <f>'Tab.G3.1E-5E'!$B$61</f>
        <v>Tabela G3.4E. Jednostkowe nakłady na przyłączenia nowych stacji CNG w rozbiciu na grupy przyłączeniowe</v>
      </c>
      <c r="C24" s="34"/>
    </row>
    <row r="25" spans="1:3" ht="20.100000000000001" customHeight="1">
      <c r="A25" s="818">
        <v>23</v>
      </c>
      <c r="B25" s="848" t="str">
        <f>'Tab.G3.1E-5E'!$B$87</f>
        <v>Tabela G3.5E. Jednostkowe nakłady na przyłącza nowych stacji CNG w rozbiciu na grupy przyłączeniowe</v>
      </c>
      <c r="C25" s="34"/>
    </row>
    <row r="26" spans="1:3" ht="20.100000000000001" customHeight="1">
      <c r="A26" s="818">
        <v>24</v>
      </c>
      <c r="B26" s="848" t="str">
        <f>'Tab.G4.1-3'!$B$5</f>
        <v>Tabela G4.1. Nakłady na przyłączenia nowych źródeł</v>
      </c>
      <c r="C26" s="34"/>
    </row>
    <row r="27" spans="1:3" ht="20.100000000000001" customHeight="1">
      <c r="A27" s="818">
        <v>25</v>
      </c>
      <c r="B27" s="848" t="str">
        <f>'Tab.G4.1-3'!$B$14</f>
        <v>Tabela G4.2. Zakres rzeczowy nowych przyłączeń źródeł</v>
      </c>
      <c r="C27" s="34"/>
    </row>
    <row r="28" spans="1:3" ht="20.100000000000001" customHeight="1">
      <c r="A28" s="818">
        <v>26</v>
      </c>
      <c r="B28" s="848" t="str">
        <f>'Tab.G4.1-3'!$B$29</f>
        <v>Tabela G4.3. Jednostkowe nakłady na przyłączenia nowych źródeł</v>
      </c>
      <c r="C28" s="34"/>
    </row>
    <row r="29" spans="1:3" ht="20.100000000000001" customHeight="1">
      <c r="A29" s="818">
        <v>27</v>
      </c>
      <c r="B29" s="848" t="str">
        <f>'Tab.G5.1-3'!$B$6</f>
        <v>Tabela G5.1. Nakłady na wymianę/modernizację majątku sieciowego</v>
      </c>
      <c r="C29" s="34"/>
    </row>
    <row r="30" spans="1:3" ht="20.100000000000001" customHeight="1">
      <c r="A30" s="818">
        <v>28</v>
      </c>
      <c r="B30" s="848" t="str">
        <f>'Tab.G5.1-3'!$B$69</f>
        <v>Tabela G5.2. Zakres rzeczowy wykonanych nakładów na wymianę/modernizację majątku sieciowego</v>
      </c>
      <c r="C30" s="34"/>
    </row>
    <row r="31" spans="1:3" ht="20.100000000000001" customHeight="1">
      <c r="A31" s="818">
        <v>29</v>
      </c>
      <c r="B31" s="848" t="str">
        <f>'Tab.G5.1-3'!$B$132</f>
        <v>Tabela G5.3. Jednostkowe nakłady na wymianę/modernizację majątku sieciowego</v>
      </c>
      <c r="C31" s="34"/>
    </row>
    <row r="32" spans="1:3" ht="20.100000000000001" customHeight="1">
      <c r="A32" s="818">
        <v>30</v>
      </c>
      <c r="B32" s="848" t="str">
        <f>'Tab.G5.1E-3E'!$B$7</f>
        <v>Tabela G5.1E. Nakłady na wymianę/modernizację majątku sieciowego związaną z przyłączeniem nowych stacji CNG</v>
      </c>
      <c r="C32" s="34"/>
    </row>
    <row r="33" spans="1:3" ht="20.100000000000001" customHeight="1">
      <c r="A33" s="818">
        <v>31</v>
      </c>
      <c r="B33" s="848" t="str">
        <f>'Tab.G5.1E-3E'!$B$70</f>
        <v>Tabela G5.2E. Zakres rzeczowy wykonanych nakładów na wymianę/modernizację majątku sieciowego związaną z przyłączeniem nowych stacji CNG.</v>
      </c>
      <c r="C33" s="34"/>
    </row>
    <row r="34" spans="1:3" ht="20.100000000000001" customHeight="1">
      <c r="A34" s="818">
        <v>32</v>
      </c>
      <c r="B34" s="848" t="str">
        <f>'Tab.G5.1E-3E'!B133</f>
        <v>Tabela G5.3E. Jednostkowe nakłady na wymianę/modernizację majątku sieciowego związaną z przyłączeniem nowych stacji CNG</v>
      </c>
      <c r="C34" s="34"/>
    </row>
    <row r="35" spans="1:3" ht="20.100000000000001" customHeight="1">
      <c r="A35" s="818">
        <v>33</v>
      </c>
      <c r="B35" s="848" t="str">
        <f>Tab.G6!$B$8</f>
        <v>Tabela G6. Budowa sieci na terenach niezgazyfikowanych (ekspansja na nowe tereny - sieci i przyłącza)</v>
      </c>
      <c r="C35" s="34"/>
    </row>
    <row r="36" spans="1:3" ht="20.100000000000001" customHeight="1">
      <c r="A36" s="818">
        <v>34</v>
      </c>
      <c r="B36" s="848" t="str">
        <f>Tab.G7!$B$7</f>
        <v>Tabela G7. Nakłady inwestycyjne pozostałe - łączność (nie związane z nowymi stacjami CNG i LCNG)</v>
      </c>
      <c r="C36" s="34"/>
    </row>
    <row r="37" spans="1:3" ht="20.100000000000001" customHeight="1">
      <c r="A37" s="818">
        <v>35</v>
      </c>
      <c r="B37" s="848" t="str">
        <f>Tab.G7E!$B$7</f>
        <v>Tabela G7E. Nakłady inwestycyjne pozostałe - łączność (związane z nowymi stacjami CNG i LCNG)</v>
      </c>
      <c r="C37" s="34"/>
    </row>
    <row r="38" spans="1:3" ht="20.100000000000001" customHeight="1">
      <c r="A38" s="818">
        <v>36</v>
      </c>
      <c r="B38" s="848" t="str">
        <f>Tab.G8!$B$7</f>
        <v>Tabela G8. Nakłady inwestycyjne pozostałe - pomiary (nie związane z nowymi stacjami CNG i LCNG)</v>
      </c>
      <c r="C38" s="34"/>
    </row>
    <row r="39" spans="1:3" ht="20.100000000000001" customHeight="1">
      <c r="A39" s="818">
        <v>37</v>
      </c>
      <c r="B39" s="848" t="str">
        <f>Tab.G8E!$B$7</f>
        <v>Tabela G8E. Nakłady inwestycyjne pozostałe - pomiary (związane z nowymi stacjami CNG i LCNG)</v>
      </c>
      <c r="C39" s="34"/>
    </row>
    <row r="40" spans="1:3" ht="20.100000000000001" customHeight="1">
      <c r="A40" s="818">
        <v>38</v>
      </c>
      <c r="B40" s="848" t="str">
        <f>Tab.G9!$B$7</f>
        <v>Tabela G9. Nakłady inwestycyjne pozostałe - informatyka (nie związane z nowymi stacjami CNG i LCNG)</v>
      </c>
      <c r="C40" s="34"/>
    </row>
    <row r="41" spans="1:3" ht="20.100000000000001" customHeight="1">
      <c r="A41" s="818">
        <v>39</v>
      </c>
      <c r="B41" s="848" t="str">
        <f>Tab.G9E!$B$7</f>
        <v>Tabela G9E. Nakłady inwestycyjne pozostałe - informatyka (związane z nowymi stacjami CNG i LCNG)</v>
      </c>
      <c r="C41" s="34"/>
    </row>
    <row r="42" spans="1:3" ht="20.100000000000001" customHeight="1">
      <c r="A42" s="818">
        <v>40</v>
      </c>
      <c r="B42" s="848" t="str">
        <f>Tab.G10!$B$7</f>
        <v>Tabela G10. Nakłady inwestycyjne pozostałe - budynki i budowle (nie związane z nowymi stacjami CNG i LCNG)</v>
      </c>
      <c r="C42" s="34"/>
    </row>
    <row r="43" spans="1:3" ht="20.100000000000001" customHeight="1">
      <c r="A43" s="818">
        <v>41</v>
      </c>
      <c r="B43" s="848" t="str">
        <f>Tab.G10E!$B$7</f>
        <v>Tabela G10E. Nakłady inwestycyjne pozostałe - budynki i budowle (związane z nowymi stacjami CNG i LCNG)</v>
      </c>
      <c r="C43" s="34"/>
    </row>
    <row r="44" spans="1:3" ht="20.100000000000001" customHeight="1">
      <c r="A44" s="818">
        <v>42</v>
      </c>
      <c r="B44" s="848" t="str">
        <f>Tab.G11!$B$7</f>
        <v>Tabela G11. Nakłady inwestycyjne pozostałe - przygotowanie inwestycji (nie związane z nowymi stacjami CNG i LCNG)</v>
      </c>
      <c r="C44" s="34"/>
    </row>
    <row r="45" spans="1:3" ht="20.100000000000001" customHeight="1">
      <c r="A45" s="818">
        <v>43</v>
      </c>
      <c r="B45" s="848" t="str">
        <f>Tab.G11E!$B$7</f>
        <v>Tabela G11E. Nakłady inwestycyjne pozostałe - przygotowanie inwestycji (związane z nowymi stacjami CNG i LCNG)</v>
      </c>
      <c r="C45" s="34"/>
    </row>
    <row r="46" spans="1:3" ht="20.100000000000001" customHeight="1">
      <c r="A46" s="818">
        <v>44</v>
      </c>
      <c r="B46" s="848" t="str">
        <f>Tab.G12!$B$7</f>
        <v>Tabela G12. Nakłady inwestycyjne pozostałe - zakup środków transportu</v>
      </c>
      <c r="C46" s="34"/>
    </row>
    <row r="47" spans="1:3" ht="20.100000000000001" customHeight="1">
      <c r="A47" s="818">
        <v>45</v>
      </c>
      <c r="B47" s="848" t="str">
        <f>Tab.G13!$B$7</f>
        <v>Tabela G13. Nakłady inwestycyjne pozostałe - inne (nie związane z nowymi stacjami CNG i LCNG)</v>
      </c>
      <c r="C47" s="34"/>
    </row>
    <row r="48" spans="1:3" ht="20.100000000000001" customHeight="1">
      <c r="A48" s="818">
        <v>46</v>
      </c>
      <c r="B48" s="848" t="str">
        <f>Tab.G13E!$B$7</f>
        <v>Tabela G13E. Nakłady inwestycyjne pozostałe - inne (związane z nowymi stacjami CNG i LCNG)</v>
      </c>
      <c r="C48" s="34"/>
    </row>
    <row r="49" spans="1:3" ht="20.100000000000001" customHeight="1">
      <c r="A49" s="818">
        <v>47</v>
      </c>
      <c r="B49" s="848" t="str">
        <f>Tab.G14!$B$7</f>
        <v>Tabela G14. Lista projektów inwestycyjnych związana z przyłączeniami nowych odbiorców ujętymi w Tab. G2.1</v>
      </c>
      <c r="C49" s="34"/>
    </row>
    <row r="50" spans="1:3" ht="20.100000000000001" customHeight="1">
      <c r="A50" s="818">
        <v>48</v>
      </c>
      <c r="B50" s="848" t="str">
        <f>Tab.G14E!$B$7</f>
        <v>Tabela G14E. Lista projektów inwestycyjnych związana z budową stacji CNG i LCNG ujęta w Tab. G2.1E i G2.4E</v>
      </c>
      <c r="C50" s="34"/>
    </row>
    <row r="51" spans="1:3" ht="20.100000000000001" customHeight="1">
      <c r="A51" s="818">
        <v>49</v>
      </c>
      <c r="B51" s="846" t="str">
        <f>Tab.G15!$B$7</f>
        <v>Tabela G15. Lista projektów inwestycyjnych związana z przyłączeniami nowych źródeł ujętymi w Tab. G4.1</v>
      </c>
      <c r="C51" s="34"/>
    </row>
    <row r="52" spans="1:3" ht="20.100000000000001" customHeight="1">
      <c r="A52" s="818">
        <v>50</v>
      </c>
      <c r="B52" s="954" t="str">
        <f>Tab.G16!$B$7</f>
        <v>Tabela G16. Lista projektów inwestycyjnych dotycząca modernizacji i odtworzenia majątku (nie związana z przyłączeniem nowych stacji CNG)</v>
      </c>
    </row>
    <row r="53" spans="1:3" ht="20.100000000000001" customHeight="1">
      <c r="A53" s="818">
        <v>51</v>
      </c>
      <c r="B53" s="954" t="str">
        <f>Tab.G16E!$B$7</f>
        <v>Tabela G16E. Lista projektów inwestycyjnych dotycząca modernizacji i odtworzenia majątku związana z przyłączeniem nowych stacji CNG</v>
      </c>
    </row>
    <row r="54" spans="1:3" ht="20.100000000000001" customHeight="1">
      <c r="A54" s="818">
        <v>52</v>
      </c>
      <c r="B54" s="954" t="str">
        <f>Tab.G17!$B$6</f>
        <v>Tabela G17. Wiek majątku oraz potrzeba jego odtworzenia i modernizacji</v>
      </c>
    </row>
    <row r="55" spans="1:3" ht="20.100000000000001" customHeight="1">
      <c r="A55" s="818">
        <v>53</v>
      </c>
      <c r="B55" s="954" t="str">
        <f>Tab.G18!$B$5</f>
        <v>Tabela G18. Charakterystyka majątku</v>
      </c>
    </row>
    <row r="56" spans="1:3" ht="20.100000000000001" customHeight="1">
      <c r="A56" s="818">
        <v>54</v>
      </c>
      <c r="B56" s="954" t="str">
        <f>'Tab.G19.1-2'!$B$4</f>
        <v>Tabela G19.1. Uszkodzenia sieci gazowych w roku sprawozdawczym</v>
      </c>
    </row>
    <row r="57" spans="1:3" ht="20.100000000000001" customHeight="1">
      <c r="A57" s="818">
        <v>55</v>
      </c>
      <c r="B57" s="954" t="str">
        <f>'Tab.G19.1-2'!$B$42</f>
        <v>Tabela G19.2. Przyczyny awarii w roku sprawozdawczym</v>
      </c>
    </row>
    <row r="58" spans="1:3" ht="20.100000000000001" customHeight="1">
      <c r="A58" s="818">
        <v>56</v>
      </c>
      <c r="B58" s="954" t="str">
        <f>Tab.G20!$B$5</f>
        <v>Tabela G20. Przerwy w dystrybucji paliw gazowych w roku sprawozdawczym 2020</v>
      </c>
    </row>
    <row r="59" spans="1:3" ht="20.100000000000001" customHeight="1">
      <c r="A59" s="818">
        <v>57</v>
      </c>
      <c r="B59" s="954" t="str">
        <f>Tab.G21!$B$6</f>
        <v>Tabela G21. Dane marketingowe</v>
      </c>
    </row>
    <row r="60" spans="1:3" ht="20.100000000000001" customHeight="1" thickBot="1">
      <c r="A60" s="819">
        <v>58</v>
      </c>
      <c r="B60" s="847"/>
    </row>
    <row r="61" spans="1:3" ht="14.4" thickTop="1">
      <c r="A61" s="200"/>
      <c r="B61" s="32"/>
    </row>
    <row r="62" spans="1:3">
      <c r="A62" s="200"/>
      <c r="B62" s="32"/>
    </row>
    <row r="63" spans="1:3">
      <c r="A63" s="200"/>
      <c r="B63" s="32"/>
    </row>
    <row r="64" spans="1:3">
      <c r="A64" s="200"/>
      <c r="B64" s="32"/>
    </row>
    <row r="65" spans="1:2">
      <c r="A65" s="200"/>
      <c r="B65" s="32"/>
    </row>
    <row r="66" spans="1:2">
      <c r="A66" s="200"/>
      <c r="B66" s="32"/>
    </row>
    <row r="67" spans="1:2">
      <c r="A67" s="200"/>
      <c r="B67" s="32"/>
    </row>
    <row r="68" spans="1:2">
      <c r="A68" s="200"/>
      <c r="B68" s="32"/>
    </row>
    <row r="69" spans="1:2">
      <c r="A69" s="200"/>
      <c r="B69" s="32"/>
    </row>
    <row r="88" spans="6:6">
      <c r="F88" s="198">
        <f>IF(F$56=0,0,F62/F$56)</f>
        <v>0</v>
      </c>
    </row>
  </sheetData>
  <phoneticPr fontId="0" type="noConversion"/>
  <hyperlinks>
    <hyperlink ref="B31" location="'Tab.G5.1-3'!A133:A193" display="'Tab.G5.1-3'!A133:A193" xr:uid="{00000000-0004-0000-0100-000000000000}"/>
    <hyperlink ref="B35" location="Tab.G6!A8" display="Tab.G6!A8" xr:uid="{00000000-0004-0000-0100-000001000000}"/>
    <hyperlink ref="B36" location="Tab.G7!A7" display="Tab.G7!A7" xr:uid="{00000000-0004-0000-0100-000002000000}"/>
    <hyperlink ref="B40" location="Tab.G9!A7" display="Tab.G9!A7" xr:uid="{00000000-0004-0000-0100-000003000000}"/>
    <hyperlink ref="B42" location="Tab.G10!A7" display="Tab.G10!A7" xr:uid="{00000000-0004-0000-0100-000004000000}"/>
    <hyperlink ref="B44" location="Tab.G11!A7" display="Tab.G11!A7" xr:uid="{00000000-0004-0000-0100-000005000000}"/>
    <hyperlink ref="B47" location="Tab.G13!A7" display="Tab.G13!A7" xr:uid="{00000000-0004-0000-0100-000006000000}"/>
    <hyperlink ref="B49" location="Tab.G14!A7" display="Tab.G14!A7" xr:uid="{00000000-0004-0000-0100-000007000000}"/>
    <hyperlink ref="B51" location="Tab.G15!A1" display="Tab.G15!A1" xr:uid="{00000000-0004-0000-0100-000008000000}"/>
    <hyperlink ref="B46" location="Tab.G12!A7" display="Tab.G12!A7" xr:uid="{00000000-0004-0000-0100-000009000000}"/>
    <hyperlink ref="B17" location="'Tab.G3.1-5'!A22:A30" display="'Tab.G3.1-5'!A22:A30" xr:uid="{00000000-0004-0000-0100-00000A000000}"/>
    <hyperlink ref="B19" location="'Tab.G3.1-5'!A62:A85" display="'Tab.G3.1-5'!A62:A85" xr:uid="{00000000-0004-0000-0100-00000B000000}"/>
    <hyperlink ref="B26" location="'Tab.G4.1-3'!A6:A12" display="'Tab.G4.1-3'!A6:A12" xr:uid="{00000000-0004-0000-0100-00000C000000}"/>
    <hyperlink ref="B4" location="'Tab.G1.1-4'!A33:A56" display="'Tab.G1.1-4'!A33:A56" xr:uid="{00000000-0004-0000-0100-00000D000000}"/>
    <hyperlink ref="B38" location="Tab.G8!A7" display="Tab.G8!A7" xr:uid="{00000000-0004-0000-0100-00000E000000}"/>
    <hyperlink ref="B28" location="'Tab.G4.1-3'!A30:A42" display="'Tab.G4.1-3'!A30:A42" xr:uid="{00000000-0004-0000-0100-00000F000000}"/>
    <hyperlink ref="B29" location="'Tab.G5.1-3'!A7:A67" display="'Tab.G5.1-3'!A7:A67" xr:uid="{00000000-0004-0000-0100-000010000000}"/>
    <hyperlink ref="B30" location="'Tab.G5.1-3'!A70:A130" display="'Tab.G5.1-3'!A70:A130" xr:uid="{00000000-0004-0000-0100-000011000000}"/>
    <hyperlink ref="B52" location="Tab.G16!A7" display="Tab.G16!A7" xr:uid="{00000000-0004-0000-0100-000012000000}"/>
    <hyperlink ref="B54" location="Tab.G17!A6" display="Tab.G17!A6" xr:uid="{00000000-0004-0000-0100-000013000000}"/>
    <hyperlink ref="B55" location="Tab.G18!A5" display="Tab.G18!A5" xr:uid="{00000000-0004-0000-0100-000014000000}"/>
    <hyperlink ref="B18" location="'Tab.G3.1-5'!A33:A60" display="'Tab.G3.1-5'!A33:A60" xr:uid="{00000000-0004-0000-0100-000015000000}"/>
    <hyperlink ref="B20" location="'Tab.G3.1-5'!A88:A111" display="'Tab.G3.1-5'!A88:A111" xr:uid="{00000000-0004-0000-0100-000016000000}"/>
    <hyperlink ref="B27" location="'Tab.G4.1-3'!A15:A27" display="'Tab.G4.1-3'!A15:A27" xr:uid="{00000000-0004-0000-0100-000017000000}"/>
    <hyperlink ref="B56" location="'Tab.G19.1-2'!A4:A39" display="'Tab.G19.1-2'!A4:A39" xr:uid="{00000000-0004-0000-0100-000018000000}"/>
    <hyperlink ref="B57" location="'Tab.G19.1-2'!A42:A52" display="'Tab.G19.1-2'!A42:A52" xr:uid="{00000000-0004-0000-0100-000019000000}"/>
    <hyperlink ref="B58" location="Tab.G20!A5" display="Tab.G20!A5" xr:uid="{00000000-0004-0000-0100-00001A000000}"/>
    <hyperlink ref="B59" location="Tab.G21!A6" display="Tab.G21!A6" xr:uid="{00000000-0004-0000-0100-00001B000000}"/>
    <hyperlink ref="B5" location="'Tab.G1.1-4'!A59:A68" display="'Tab.G1.1-4'!A59:A68" xr:uid="{00000000-0004-0000-0100-00001C000000}"/>
    <hyperlink ref="B7" location="'Tab.G2.1-3'!A7:A66" display="'Tab.G2.1-3'!A7:A66" xr:uid="{00000000-0004-0000-0100-00001D000000}"/>
    <hyperlink ref="B8" location="'Tab.G2.1-3'!A69:A128" display="'Tab.G2.1-3'!A69:A128" xr:uid="{00000000-0004-0000-0100-00001E000000}"/>
    <hyperlink ref="B9" location="'Tab.G2.1-3'!A131:A190" display="'Tab.G2.1-3'!A131:A190" xr:uid="{00000000-0004-0000-0100-00001F000000}"/>
    <hyperlink ref="B16" location="'Tab.G3.1-5'!A11:A19" display="'Tab.G3.1-5'!A11:A19" xr:uid="{00000000-0004-0000-0100-000020000000}"/>
    <hyperlink ref="B3" location="'Tab.G1.1-4'!A7:A30" display="'Tab.G1.1-4'!A7:A30" xr:uid="{00000000-0004-0000-0100-000021000000}"/>
    <hyperlink ref="B6" location="'Tab.G1.1-4'!A71:A80" display="'Tab.G1.1-4'!A71:A80" xr:uid="{00000000-0004-0000-0100-000022000000}"/>
    <hyperlink ref="B10" location="'Tab.G2.1E-6E'!A9:A68" display="'Tab.G2.1E-6E'!A9:A68" xr:uid="{00000000-0004-0000-0100-000023000000}"/>
    <hyperlink ref="B11" location="'Tab.G2.1E-6E'!A71:A130" display="'Tab.G2.1E-6E'!A71:A130" xr:uid="{00000000-0004-0000-0100-000024000000}"/>
    <hyperlink ref="B12" location="'Tab.G2.1E-6E'!A133:A192" display="'Tab.G2.1E-6E'!A133:A192" xr:uid="{00000000-0004-0000-0100-000025000000}"/>
    <hyperlink ref="B13" location="'Tab.G2.1E-6E'!A195:A207" display="'Tab.G2.1E-6E'!A195:A207" xr:uid="{00000000-0004-0000-0100-000026000000}"/>
    <hyperlink ref="B14" location="'Tab.G2.1E-6E'!A210:A222" display="'Tab.G2.1E-6E'!A210:A222" xr:uid="{00000000-0004-0000-0100-000027000000}"/>
    <hyperlink ref="B15" location="'Tab.G2.1E-6E'!A225:A237" display="'Tab.G2.1E-6E'!A225:A237" xr:uid="{00000000-0004-0000-0100-000028000000}"/>
    <hyperlink ref="B21" location="'Tab.G3.1E-5E'!A11:A19" display="'Tab.G3.1E-5E'!A11:A19" xr:uid="{00000000-0004-0000-0100-000029000000}"/>
    <hyperlink ref="B22" location="'Tab.G3.1E-5E'!A22:A30" display="'Tab.G3.1E-5E'!A22:A30" xr:uid="{00000000-0004-0000-0100-00002A000000}"/>
    <hyperlink ref="B23" location="'Tab.G3.1E-5E'!A33:A60" display="'Tab.G3.1E-5E'!A33:A60" xr:uid="{00000000-0004-0000-0100-00002B000000}"/>
    <hyperlink ref="B24" location="'Tab.G3.1E-5E'!A62:A85" display="'Tab.G3.1E-5E'!A62:A85" xr:uid="{00000000-0004-0000-0100-00002C000000}"/>
    <hyperlink ref="B25" location="'Tab.G3.1E-5E'!A88:A111" display="'Tab.G3.1E-5E'!A88:A111" xr:uid="{00000000-0004-0000-0100-00002D000000}"/>
    <hyperlink ref="B32" location="'Tab.G5.1E-3E'!A7:A67" display="'Tab.G5.1E-3E'!A7:A67" xr:uid="{00000000-0004-0000-0100-00002E000000}"/>
    <hyperlink ref="B33" location="'Tab.G5.1E-3E'!A70:A130" display="'Tab.G5.1E-3E'!A70:A130" xr:uid="{00000000-0004-0000-0100-00002F000000}"/>
    <hyperlink ref="B34" location="'Tab.G5.1E-3E'!A133:A193" display="'Tab.G5.1E-3E'!A133:A193" xr:uid="{00000000-0004-0000-0100-000030000000}"/>
    <hyperlink ref="B37" location="Tab.G7E!A7" display="Tab.G7E!A7" xr:uid="{00000000-0004-0000-0100-000031000000}"/>
    <hyperlink ref="B39" location="Tab.G8E!A7" display="Tab.G8E!A7" xr:uid="{00000000-0004-0000-0100-000032000000}"/>
    <hyperlink ref="B41" location="Tab.G9E!A7" display="Tab.G9E!A7" xr:uid="{00000000-0004-0000-0100-000033000000}"/>
    <hyperlink ref="B43" location="Tab.G10E!A7" display="Tab.G10E!A7" xr:uid="{00000000-0004-0000-0100-000034000000}"/>
    <hyperlink ref="B45" location="Tab.G11E!A7" display="Tab.G11E!A7" xr:uid="{00000000-0004-0000-0100-000035000000}"/>
    <hyperlink ref="B48" location="Tab.G13E!A7" display="Tab.G13E!A7" xr:uid="{00000000-0004-0000-0100-000036000000}"/>
    <hyperlink ref="B50" location="Tab.G14E!A7" display="Tab.G14E!A7" xr:uid="{00000000-0004-0000-0100-000037000000}"/>
    <hyperlink ref="B53" location="Tab.G16E!A7" display="Tab.G16E!A7" xr:uid="{00000000-0004-0000-0100-000038000000}"/>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258</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94"/>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93"/>
      <c r="I142" s="1091"/>
      <c r="J142" s="1083"/>
      <c r="K142" s="1083"/>
      <c r="L142" s="932"/>
    </row>
    <row r="143" spans="1:12" s="106" customFormat="1" ht="15.75" hidden="1" customHeight="1" outlineLevel="1">
      <c r="A143" s="932"/>
      <c r="B143" s="1086"/>
      <c r="C143" s="1095"/>
      <c r="D143" s="1091"/>
      <c r="E143" s="1091"/>
      <c r="F143" s="1093"/>
      <c r="G143" s="98"/>
      <c r="H143" s="93"/>
      <c r="I143" s="1091"/>
      <c r="J143" s="1084"/>
      <c r="K143" s="1084"/>
      <c r="L143" s="932"/>
    </row>
    <row r="144" spans="1:12" s="106" customFormat="1" ht="15.75" hidden="1" customHeight="1" outlineLevel="1">
      <c r="A144" s="932"/>
      <c r="B144" s="1087"/>
      <c r="C144" s="1096"/>
      <c r="D144" s="1092"/>
      <c r="E144" s="1092"/>
      <c r="F144" s="1094"/>
      <c r="G144" s="103"/>
      <c r="H144" s="101"/>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93"/>
      <c r="I145" s="1091"/>
      <c r="J145" s="1083"/>
      <c r="K145" s="1083"/>
      <c r="L145" s="932"/>
    </row>
    <row r="146" spans="1:12" s="106" customFormat="1" ht="15.75" hidden="1" customHeight="1" outlineLevel="1">
      <c r="A146" s="932"/>
      <c r="B146" s="1086"/>
      <c r="C146" s="1095"/>
      <c r="D146" s="1091"/>
      <c r="E146" s="1091"/>
      <c r="F146" s="1093"/>
      <c r="G146" s="98"/>
      <c r="H146" s="93"/>
      <c r="I146" s="1091"/>
      <c r="J146" s="1084"/>
      <c r="K146" s="1084"/>
      <c r="L146" s="932"/>
    </row>
    <row r="147" spans="1:12" s="106" customFormat="1" ht="15.75" hidden="1" customHeight="1" outlineLevel="1">
      <c r="A147" s="932"/>
      <c r="B147" s="1087"/>
      <c r="C147" s="1096"/>
      <c r="D147" s="1092"/>
      <c r="E147" s="1092"/>
      <c r="F147" s="1094"/>
      <c r="G147" s="103"/>
      <c r="H147" s="101"/>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93"/>
      <c r="I148" s="1091"/>
      <c r="J148" s="1083"/>
      <c r="K148" s="1083"/>
      <c r="L148" s="932"/>
    </row>
    <row r="149" spans="1:12" s="106" customFormat="1" ht="15.75" hidden="1" customHeight="1" outlineLevel="1">
      <c r="A149" s="932"/>
      <c r="B149" s="1086"/>
      <c r="C149" s="1095"/>
      <c r="D149" s="1091"/>
      <c r="E149" s="1091"/>
      <c r="F149" s="1093"/>
      <c r="G149" s="98"/>
      <c r="H149" s="93"/>
      <c r="I149" s="1091"/>
      <c r="J149" s="1084"/>
      <c r="K149" s="1084"/>
      <c r="L149" s="932"/>
    </row>
    <row r="150" spans="1:12" s="106" customFormat="1" ht="15.75" hidden="1" customHeight="1" outlineLevel="1">
      <c r="A150" s="932"/>
      <c r="B150" s="1087"/>
      <c r="C150" s="1096"/>
      <c r="D150" s="1092"/>
      <c r="E150" s="1092"/>
      <c r="F150" s="1094"/>
      <c r="G150" s="103"/>
      <c r="H150" s="101"/>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93"/>
      <c r="I151" s="1091"/>
      <c r="J151" s="1083"/>
      <c r="K151" s="1083"/>
      <c r="L151" s="932"/>
    </row>
    <row r="152" spans="1:12" s="106" customFormat="1" ht="15.75" hidden="1" customHeight="1" outlineLevel="1">
      <c r="A152" s="932"/>
      <c r="B152" s="1086"/>
      <c r="C152" s="1095"/>
      <c r="D152" s="1091"/>
      <c r="E152" s="1091"/>
      <c r="F152" s="1093"/>
      <c r="G152" s="98"/>
      <c r="H152" s="93"/>
      <c r="I152" s="1091"/>
      <c r="J152" s="1084"/>
      <c r="K152" s="1084"/>
      <c r="L152" s="932"/>
    </row>
    <row r="153" spans="1:12" s="106" customFormat="1" ht="15.75" hidden="1" customHeight="1" outlineLevel="1">
      <c r="A153" s="932"/>
      <c r="B153" s="1087"/>
      <c r="C153" s="1096"/>
      <c r="D153" s="1092"/>
      <c r="E153" s="1092"/>
      <c r="F153" s="1094"/>
      <c r="G153" s="103"/>
      <c r="H153" s="101"/>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93"/>
      <c r="I154" s="1091"/>
      <c r="J154" s="1083"/>
      <c r="K154" s="1083"/>
      <c r="L154" s="932"/>
    </row>
    <row r="155" spans="1:12" s="106" customFormat="1" ht="15.75" hidden="1" customHeight="1" outlineLevel="1">
      <c r="A155" s="932"/>
      <c r="B155" s="1086"/>
      <c r="C155" s="1095"/>
      <c r="D155" s="1091"/>
      <c r="E155" s="1091"/>
      <c r="F155" s="1093"/>
      <c r="G155" s="98"/>
      <c r="H155" s="93"/>
      <c r="I155" s="1091"/>
      <c r="J155" s="1084"/>
      <c r="K155" s="1084"/>
      <c r="L155" s="932"/>
    </row>
    <row r="156" spans="1:12" s="106" customFormat="1" ht="15.75" hidden="1" customHeight="1" outlineLevel="1">
      <c r="A156" s="932"/>
      <c r="B156" s="1087"/>
      <c r="C156" s="1096"/>
      <c r="D156" s="1092"/>
      <c r="E156" s="1092"/>
      <c r="F156" s="1094"/>
      <c r="G156" s="103"/>
      <c r="H156" s="101"/>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93"/>
      <c r="I157" s="1091"/>
      <c r="J157" s="1083"/>
      <c r="K157" s="1083"/>
      <c r="L157" s="932"/>
    </row>
    <row r="158" spans="1:12" s="106" customFormat="1" ht="15.75" hidden="1" customHeight="1" outlineLevel="1">
      <c r="A158" s="932"/>
      <c r="B158" s="1086"/>
      <c r="C158" s="1095"/>
      <c r="D158" s="1091"/>
      <c r="E158" s="1091"/>
      <c r="F158" s="1093"/>
      <c r="G158" s="98"/>
      <c r="H158" s="93"/>
      <c r="I158" s="1091"/>
      <c r="J158" s="1084"/>
      <c r="K158" s="1084"/>
      <c r="L158" s="932"/>
    </row>
    <row r="159" spans="1:12" s="106" customFormat="1" ht="15.75" hidden="1" customHeight="1" outlineLevel="1">
      <c r="A159" s="932"/>
      <c r="B159" s="1087"/>
      <c r="C159" s="1096"/>
      <c r="D159" s="1092"/>
      <c r="E159" s="1092"/>
      <c r="F159" s="1094"/>
      <c r="G159" s="103"/>
      <c r="H159" s="101"/>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93"/>
      <c r="I160" s="1091"/>
      <c r="J160" s="1083"/>
      <c r="K160" s="1083"/>
      <c r="L160" s="932"/>
    </row>
    <row r="161" spans="1:12" s="106" customFormat="1" ht="15.75" hidden="1" customHeight="1" outlineLevel="1">
      <c r="A161" s="932"/>
      <c r="B161" s="1086"/>
      <c r="C161" s="1095"/>
      <c r="D161" s="1091"/>
      <c r="E161" s="1091"/>
      <c r="F161" s="1093"/>
      <c r="G161" s="98"/>
      <c r="H161" s="93"/>
      <c r="I161" s="1091"/>
      <c r="J161" s="1084"/>
      <c r="K161" s="1084"/>
      <c r="L161" s="932"/>
    </row>
    <row r="162" spans="1:12" s="106" customFormat="1" ht="15.75" hidden="1" customHeight="1" outlineLevel="1">
      <c r="A162" s="932"/>
      <c r="B162" s="1087"/>
      <c r="C162" s="1096"/>
      <c r="D162" s="1092"/>
      <c r="E162" s="1092"/>
      <c r="F162" s="1094"/>
      <c r="G162" s="103"/>
      <c r="H162" s="101"/>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93"/>
      <c r="I163" s="1091"/>
      <c r="J163" s="1083"/>
      <c r="K163" s="1083"/>
      <c r="L163" s="932"/>
    </row>
    <row r="164" spans="1:12" s="106" customFormat="1" ht="15.75" hidden="1" customHeight="1" outlineLevel="1">
      <c r="A164" s="932"/>
      <c r="B164" s="1086"/>
      <c r="C164" s="1095"/>
      <c r="D164" s="1091"/>
      <c r="E164" s="1091"/>
      <c r="F164" s="1093"/>
      <c r="G164" s="98"/>
      <c r="H164" s="93"/>
      <c r="I164" s="1091"/>
      <c r="J164" s="1084"/>
      <c r="K164" s="1084"/>
      <c r="L164" s="932"/>
    </row>
    <row r="165" spans="1:12" s="106" customFormat="1" ht="15.75" hidden="1" customHeight="1" outlineLevel="1">
      <c r="A165" s="932"/>
      <c r="B165" s="1087"/>
      <c r="C165" s="1096"/>
      <c r="D165" s="1092"/>
      <c r="E165" s="1092"/>
      <c r="F165" s="1094"/>
      <c r="G165" s="103"/>
      <c r="H165" s="101"/>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93"/>
      <c r="I166" s="1091"/>
      <c r="J166" s="1083"/>
      <c r="K166" s="1083"/>
      <c r="L166" s="932"/>
    </row>
    <row r="167" spans="1:12" s="106" customFormat="1" ht="15.75" hidden="1" customHeight="1" outlineLevel="1">
      <c r="A167" s="932"/>
      <c r="B167" s="1086"/>
      <c r="C167" s="1095"/>
      <c r="D167" s="1091"/>
      <c r="E167" s="1091"/>
      <c r="F167" s="1093"/>
      <c r="G167" s="98"/>
      <c r="H167" s="93"/>
      <c r="I167" s="1091"/>
      <c r="J167" s="1084"/>
      <c r="K167" s="1084"/>
      <c r="L167" s="932"/>
    </row>
    <row r="168" spans="1:12" s="106" customFormat="1" ht="15.75" hidden="1" customHeight="1" outlineLevel="1">
      <c r="A168" s="932"/>
      <c r="B168" s="1087"/>
      <c r="C168" s="1096"/>
      <c r="D168" s="1092"/>
      <c r="E168" s="1092"/>
      <c r="F168" s="1094"/>
      <c r="G168" s="103"/>
      <c r="H168" s="101"/>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93"/>
      <c r="I169" s="1091"/>
      <c r="J169" s="1083"/>
      <c r="K169" s="1083"/>
      <c r="L169" s="932"/>
    </row>
    <row r="170" spans="1:12" s="106" customFormat="1" ht="15.75" hidden="1" customHeight="1" outlineLevel="1">
      <c r="A170" s="932"/>
      <c r="B170" s="1086"/>
      <c r="C170" s="1095"/>
      <c r="D170" s="1091"/>
      <c r="E170" s="1091"/>
      <c r="F170" s="1093"/>
      <c r="G170" s="98"/>
      <c r="H170" s="93"/>
      <c r="I170" s="1091"/>
      <c r="J170" s="1084"/>
      <c r="K170" s="1084"/>
      <c r="L170" s="932"/>
    </row>
    <row r="171" spans="1:12" s="106" customFormat="1" ht="15.75" hidden="1" customHeight="1" outlineLevel="1">
      <c r="A171" s="932"/>
      <c r="B171" s="1087"/>
      <c r="C171" s="1096"/>
      <c r="D171" s="1092"/>
      <c r="E171" s="1092"/>
      <c r="F171" s="1094"/>
      <c r="G171" s="103"/>
      <c r="H171" s="101"/>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93"/>
      <c r="I172" s="1091"/>
      <c r="J172" s="1083"/>
      <c r="K172" s="1083"/>
      <c r="L172" s="932"/>
    </row>
    <row r="173" spans="1:12" s="106" customFormat="1" ht="15.75" hidden="1" customHeight="1" outlineLevel="1">
      <c r="A173" s="932"/>
      <c r="B173" s="1086"/>
      <c r="C173" s="1095"/>
      <c r="D173" s="1091"/>
      <c r="E173" s="1091"/>
      <c r="F173" s="1093"/>
      <c r="G173" s="98"/>
      <c r="H173" s="93"/>
      <c r="I173" s="1091"/>
      <c r="J173" s="1084"/>
      <c r="K173" s="1084"/>
      <c r="L173" s="932"/>
    </row>
    <row r="174" spans="1:12" s="106" customFormat="1" ht="15.75" hidden="1" customHeight="1" outlineLevel="1">
      <c r="A174" s="932"/>
      <c r="B174" s="1087"/>
      <c r="C174" s="1096"/>
      <c r="D174" s="1092"/>
      <c r="E174" s="1092"/>
      <c r="F174" s="1094"/>
      <c r="G174" s="103"/>
      <c r="H174" s="101"/>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93"/>
      <c r="I175" s="1091"/>
      <c r="J175" s="1083"/>
      <c r="K175" s="1083"/>
      <c r="L175" s="932"/>
    </row>
    <row r="176" spans="1:12" s="106" customFormat="1" ht="15.75" hidden="1" customHeight="1" outlineLevel="1">
      <c r="A176" s="932"/>
      <c r="B176" s="1086"/>
      <c r="C176" s="1095"/>
      <c r="D176" s="1091"/>
      <c r="E176" s="1091"/>
      <c r="F176" s="1093"/>
      <c r="G176" s="98"/>
      <c r="H176" s="93"/>
      <c r="I176" s="1091"/>
      <c r="J176" s="1084"/>
      <c r="K176" s="1084"/>
      <c r="L176" s="932"/>
    </row>
    <row r="177" spans="1:12" s="106" customFormat="1" ht="15.75" hidden="1" customHeight="1" outlineLevel="1">
      <c r="A177" s="932"/>
      <c r="B177" s="1087"/>
      <c r="C177" s="1096"/>
      <c r="D177" s="1092"/>
      <c r="E177" s="1092"/>
      <c r="F177" s="1094"/>
      <c r="G177" s="103"/>
      <c r="H177" s="101"/>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93"/>
      <c r="I178" s="1091"/>
      <c r="J178" s="1083"/>
      <c r="K178" s="1083"/>
      <c r="L178" s="932"/>
    </row>
    <row r="179" spans="1:12" s="106" customFormat="1" ht="15.75" hidden="1" customHeight="1" outlineLevel="1">
      <c r="A179" s="932"/>
      <c r="B179" s="1086"/>
      <c r="C179" s="1095"/>
      <c r="D179" s="1091"/>
      <c r="E179" s="1091"/>
      <c r="F179" s="1093"/>
      <c r="G179" s="98"/>
      <c r="H179" s="93"/>
      <c r="I179" s="1091"/>
      <c r="J179" s="1084"/>
      <c r="K179" s="1084"/>
      <c r="L179" s="932"/>
    </row>
    <row r="180" spans="1:12" s="106" customFormat="1" ht="15.75" hidden="1" customHeight="1" outlineLevel="1">
      <c r="A180" s="932"/>
      <c r="B180" s="1087"/>
      <c r="C180" s="1096"/>
      <c r="D180" s="1092"/>
      <c r="E180" s="1092"/>
      <c r="F180" s="1094"/>
      <c r="G180" s="103"/>
      <c r="H180" s="101"/>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93"/>
      <c r="I181" s="1091"/>
      <c r="J181" s="1083"/>
      <c r="K181" s="1083"/>
      <c r="L181" s="932"/>
    </row>
    <row r="182" spans="1:12" s="106" customFormat="1" ht="15.75" hidden="1" customHeight="1" outlineLevel="1">
      <c r="A182" s="932"/>
      <c r="B182" s="1086"/>
      <c r="C182" s="1095"/>
      <c r="D182" s="1091"/>
      <c r="E182" s="1091"/>
      <c r="F182" s="1093"/>
      <c r="G182" s="98"/>
      <c r="H182" s="93"/>
      <c r="I182" s="1091"/>
      <c r="J182" s="1084"/>
      <c r="K182" s="1084"/>
      <c r="L182" s="932"/>
    </row>
    <row r="183" spans="1:12" s="106" customFormat="1" ht="15.75" hidden="1" customHeight="1" outlineLevel="1">
      <c r="A183" s="932"/>
      <c r="B183" s="1087"/>
      <c r="C183" s="1096"/>
      <c r="D183" s="1092"/>
      <c r="E183" s="1092"/>
      <c r="F183" s="1094"/>
      <c r="G183" s="103"/>
      <c r="H183" s="101"/>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93"/>
      <c r="I184" s="1091"/>
      <c r="J184" s="1083"/>
      <c r="K184" s="1083"/>
      <c r="L184" s="932"/>
    </row>
    <row r="185" spans="1:12" s="106" customFormat="1" ht="15.75" hidden="1" customHeight="1" outlineLevel="1">
      <c r="A185" s="932"/>
      <c r="B185" s="1086"/>
      <c r="C185" s="1095"/>
      <c r="D185" s="1091"/>
      <c r="E185" s="1091"/>
      <c r="F185" s="1093"/>
      <c r="G185" s="98"/>
      <c r="H185" s="93"/>
      <c r="I185" s="1091"/>
      <c r="J185" s="1084"/>
      <c r="K185" s="1084"/>
      <c r="L185" s="932"/>
    </row>
    <row r="186" spans="1:12" s="106" customFormat="1" ht="15.75" hidden="1" customHeight="1" outlineLevel="1">
      <c r="A186" s="932"/>
      <c r="B186" s="1087"/>
      <c r="C186" s="1096"/>
      <c r="D186" s="1092"/>
      <c r="E186" s="1092"/>
      <c r="F186" s="1094"/>
      <c r="G186" s="103"/>
      <c r="H186" s="101"/>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93"/>
      <c r="I187" s="1091"/>
      <c r="J187" s="1083"/>
      <c r="K187" s="1083"/>
      <c r="L187" s="932"/>
    </row>
    <row r="188" spans="1:12" s="106" customFormat="1" ht="15.75" hidden="1" customHeight="1" outlineLevel="1">
      <c r="A188" s="932"/>
      <c r="B188" s="1086"/>
      <c r="C188" s="1095"/>
      <c r="D188" s="1091"/>
      <c r="E188" s="1091"/>
      <c r="F188" s="1093"/>
      <c r="G188" s="98"/>
      <c r="H188" s="93"/>
      <c r="I188" s="1091"/>
      <c r="J188" s="1084"/>
      <c r="K188" s="1084"/>
      <c r="L188" s="932"/>
    </row>
    <row r="189" spans="1:12" s="106" customFormat="1" ht="15.75" hidden="1" customHeight="1" outlineLevel="1">
      <c r="A189" s="932"/>
      <c r="B189" s="1087"/>
      <c r="C189" s="1096"/>
      <c r="D189" s="1092"/>
      <c r="E189" s="1092"/>
      <c r="F189" s="1094"/>
      <c r="G189" s="103"/>
      <c r="H189" s="101"/>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93"/>
      <c r="I190" s="1091"/>
      <c r="J190" s="1083"/>
      <c r="K190" s="1083"/>
      <c r="L190" s="932"/>
    </row>
    <row r="191" spans="1:12" s="106" customFormat="1" ht="15.75" hidden="1" customHeight="1" outlineLevel="1">
      <c r="A191" s="932"/>
      <c r="B191" s="1086"/>
      <c r="C191" s="1095"/>
      <c r="D191" s="1091"/>
      <c r="E191" s="1091"/>
      <c r="F191" s="1093"/>
      <c r="G191" s="98"/>
      <c r="H191" s="93"/>
      <c r="I191" s="1091"/>
      <c r="J191" s="1084"/>
      <c r="K191" s="1084"/>
      <c r="L191" s="932"/>
    </row>
    <row r="192" spans="1:12" s="106" customFormat="1" ht="15.75" hidden="1" customHeight="1" outlineLevel="1">
      <c r="A192" s="932"/>
      <c r="B192" s="1087"/>
      <c r="C192" s="1096"/>
      <c r="D192" s="1092"/>
      <c r="E192" s="1092"/>
      <c r="F192" s="1094"/>
      <c r="G192" s="103"/>
      <c r="H192" s="101"/>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93"/>
      <c r="I193" s="1091"/>
      <c r="J193" s="1083"/>
      <c r="K193" s="1083"/>
      <c r="L193" s="932"/>
    </row>
    <row r="194" spans="1:12" s="106" customFormat="1" ht="15.75" hidden="1" customHeight="1" outlineLevel="1">
      <c r="A194" s="932"/>
      <c r="B194" s="1086"/>
      <c r="C194" s="1095"/>
      <c r="D194" s="1091"/>
      <c r="E194" s="1091"/>
      <c r="F194" s="1093"/>
      <c r="G194" s="98"/>
      <c r="H194" s="93"/>
      <c r="I194" s="1091"/>
      <c r="J194" s="1084"/>
      <c r="K194" s="1084"/>
      <c r="L194" s="932"/>
    </row>
    <row r="195" spans="1:12" s="106" customFormat="1" ht="15.75" hidden="1" customHeight="1" outlineLevel="1">
      <c r="A195" s="932"/>
      <c r="B195" s="1087"/>
      <c r="C195" s="1096"/>
      <c r="D195" s="1092"/>
      <c r="E195" s="1092"/>
      <c r="F195" s="1094"/>
      <c r="G195" s="103"/>
      <c r="H195" s="101"/>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93"/>
      <c r="I196" s="1091"/>
      <c r="J196" s="1083"/>
      <c r="K196" s="1083"/>
      <c r="L196" s="932"/>
    </row>
    <row r="197" spans="1:12" s="106" customFormat="1" ht="15.75" hidden="1" customHeight="1" outlineLevel="1">
      <c r="A197" s="932"/>
      <c r="B197" s="1086"/>
      <c r="C197" s="1095"/>
      <c r="D197" s="1091"/>
      <c r="E197" s="1091"/>
      <c r="F197" s="1093"/>
      <c r="G197" s="98"/>
      <c r="H197" s="93"/>
      <c r="I197" s="1091"/>
      <c r="J197" s="1084"/>
      <c r="K197" s="1084"/>
      <c r="L197" s="932"/>
    </row>
    <row r="198" spans="1:12" s="106" customFormat="1" ht="15.75" hidden="1" customHeight="1" outlineLevel="1">
      <c r="A198" s="932"/>
      <c r="B198" s="1087"/>
      <c r="C198" s="1096"/>
      <c r="D198" s="1092"/>
      <c r="E198" s="1092"/>
      <c r="F198" s="1094"/>
      <c r="G198" s="103"/>
      <c r="H198" s="101"/>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93"/>
      <c r="I199" s="1091"/>
      <c r="J199" s="1083"/>
      <c r="K199" s="1083"/>
      <c r="L199" s="932"/>
    </row>
    <row r="200" spans="1:12" s="106" customFormat="1" ht="15.75" hidden="1" customHeight="1" outlineLevel="1">
      <c r="A200" s="932"/>
      <c r="B200" s="1086"/>
      <c r="C200" s="1095"/>
      <c r="D200" s="1091"/>
      <c r="E200" s="1091"/>
      <c r="F200" s="1093"/>
      <c r="G200" s="98"/>
      <c r="H200" s="93"/>
      <c r="I200" s="1091"/>
      <c r="J200" s="1084"/>
      <c r="K200" s="1084"/>
      <c r="L200" s="932"/>
    </row>
    <row r="201" spans="1:12" s="106" customFormat="1" ht="15.75" hidden="1" customHeight="1" outlineLevel="1">
      <c r="A201" s="932"/>
      <c r="B201" s="1087"/>
      <c r="C201" s="1096"/>
      <c r="D201" s="1092"/>
      <c r="E201" s="1092"/>
      <c r="F201" s="1094"/>
      <c r="G201" s="103"/>
      <c r="H201" s="101"/>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93"/>
      <c r="I202" s="1091"/>
      <c r="J202" s="1083"/>
      <c r="K202" s="1083"/>
      <c r="L202" s="932"/>
    </row>
    <row r="203" spans="1:12" s="106" customFormat="1" ht="15.75" hidden="1" customHeight="1" outlineLevel="1">
      <c r="A203" s="932"/>
      <c r="B203" s="1086"/>
      <c r="C203" s="1095"/>
      <c r="D203" s="1091"/>
      <c r="E203" s="1091"/>
      <c r="F203" s="1093"/>
      <c r="G203" s="98"/>
      <c r="H203" s="93"/>
      <c r="I203" s="1091"/>
      <c r="J203" s="1084"/>
      <c r="K203" s="1084"/>
      <c r="L203" s="932"/>
    </row>
    <row r="204" spans="1:12" s="106" customFormat="1" ht="15.75" hidden="1" customHeight="1" outlineLevel="1">
      <c r="A204" s="932"/>
      <c r="B204" s="1087"/>
      <c r="C204" s="1096"/>
      <c r="D204" s="1092"/>
      <c r="E204" s="1092"/>
      <c r="F204" s="1094"/>
      <c r="G204" s="103"/>
      <c r="H204" s="101"/>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93"/>
      <c r="I205" s="1091"/>
      <c r="J205" s="1083"/>
      <c r="K205" s="1083"/>
      <c r="L205" s="932"/>
    </row>
    <row r="206" spans="1:12" s="106" customFormat="1" ht="15.75" hidden="1" customHeight="1" outlineLevel="1">
      <c r="A206" s="932"/>
      <c r="B206" s="1086"/>
      <c r="C206" s="1095"/>
      <c r="D206" s="1091"/>
      <c r="E206" s="1091"/>
      <c r="F206" s="1093"/>
      <c r="G206" s="98"/>
      <c r="H206" s="93"/>
      <c r="I206" s="1091"/>
      <c r="J206" s="1084"/>
      <c r="K206" s="1084"/>
      <c r="L206" s="932"/>
    </row>
    <row r="207" spans="1:12" s="106" customFormat="1" ht="15.75" hidden="1" customHeight="1" outlineLevel="1">
      <c r="A207" s="932"/>
      <c r="B207" s="1087"/>
      <c r="C207" s="1096"/>
      <c r="D207" s="1092"/>
      <c r="E207" s="1092"/>
      <c r="F207" s="1094"/>
      <c r="G207" s="103"/>
      <c r="H207" s="101"/>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93"/>
      <c r="I208" s="1091"/>
      <c r="J208" s="1083"/>
      <c r="K208" s="1083"/>
      <c r="L208" s="932"/>
    </row>
    <row r="209" spans="1:12" s="106" customFormat="1" ht="15.75" hidden="1" customHeight="1" outlineLevel="1">
      <c r="A209" s="932"/>
      <c r="B209" s="1086"/>
      <c r="C209" s="1095"/>
      <c r="D209" s="1091"/>
      <c r="E209" s="1091"/>
      <c r="F209" s="1093"/>
      <c r="G209" s="98"/>
      <c r="H209" s="93"/>
      <c r="I209" s="1091"/>
      <c r="J209" s="1084"/>
      <c r="K209" s="1084"/>
      <c r="L209" s="932"/>
    </row>
    <row r="210" spans="1:12" s="106" customFormat="1" ht="15.75" hidden="1" customHeight="1" outlineLevel="1">
      <c r="A210" s="932"/>
      <c r="B210" s="1087"/>
      <c r="C210" s="1096"/>
      <c r="D210" s="1092"/>
      <c r="E210" s="1092"/>
      <c r="F210" s="1094"/>
      <c r="G210" s="103"/>
      <c r="H210" s="101"/>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93"/>
      <c r="I211" s="1091"/>
      <c r="J211" s="1083"/>
      <c r="K211" s="1083"/>
      <c r="L211" s="932"/>
    </row>
    <row r="212" spans="1:12" s="106" customFormat="1" ht="15.75" hidden="1" customHeight="1" outlineLevel="1">
      <c r="A212" s="932"/>
      <c r="B212" s="1086"/>
      <c r="C212" s="1095"/>
      <c r="D212" s="1091"/>
      <c r="E212" s="1091"/>
      <c r="F212" s="1093"/>
      <c r="G212" s="98"/>
      <c r="H212" s="93"/>
      <c r="I212" s="1091"/>
      <c r="J212" s="1084"/>
      <c r="K212" s="1084"/>
      <c r="L212" s="932"/>
    </row>
    <row r="213" spans="1:12" s="106" customFormat="1" ht="15.75" hidden="1" customHeight="1" outlineLevel="1">
      <c r="A213" s="932"/>
      <c r="B213" s="1087"/>
      <c r="C213" s="1096"/>
      <c r="D213" s="1092"/>
      <c r="E213" s="1092"/>
      <c r="F213" s="1094"/>
      <c r="G213" s="103"/>
      <c r="H213" s="101"/>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93"/>
      <c r="I214" s="1091"/>
      <c r="J214" s="1083"/>
      <c r="K214" s="1083"/>
      <c r="L214" s="932"/>
    </row>
    <row r="215" spans="1:12" s="106" customFormat="1" ht="15.75" hidden="1" customHeight="1" outlineLevel="1">
      <c r="A215" s="932"/>
      <c r="B215" s="1086"/>
      <c r="C215" s="1095"/>
      <c r="D215" s="1091"/>
      <c r="E215" s="1091"/>
      <c r="F215" s="1093"/>
      <c r="G215" s="98"/>
      <c r="H215" s="93"/>
      <c r="I215" s="1091"/>
      <c r="J215" s="1084"/>
      <c r="K215" s="1084"/>
      <c r="L215" s="932"/>
    </row>
    <row r="216" spans="1:12" s="106" customFormat="1" ht="15.75" hidden="1" customHeight="1" outlineLevel="1">
      <c r="A216" s="932"/>
      <c r="B216" s="1087"/>
      <c r="C216" s="1096"/>
      <c r="D216" s="1092"/>
      <c r="E216" s="1092"/>
      <c r="F216" s="1094"/>
      <c r="G216" s="103"/>
      <c r="H216" s="101"/>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93"/>
      <c r="I217" s="1091"/>
      <c r="J217" s="1083"/>
      <c r="K217" s="1083"/>
      <c r="L217" s="932"/>
    </row>
    <row r="218" spans="1:12" s="106" customFormat="1" ht="15.75" hidden="1" customHeight="1" outlineLevel="1">
      <c r="A218" s="932"/>
      <c r="B218" s="1086"/>
      <c r="C218" s="1095"/>
      <c r="D218" s="1091"/>
      <c r="E218" s="1091"/>
      <c r="F218" s="1093"/>
      <c r="G218" s="98"/>
      <c r="H218" s="93"/>
      <c r="I218" s="1091"/>
      <c r="J218" s="1084"/>
      <c r="K218" s="1084"/>
      <c r="L218" s="932"/>
    </row>
    <row r="219" spans="1:12" s="106" customFormat="1" ht="15.75" hidden="1" customHeight="1" outlineLevel="1">
      <c r="A219" s="932"/>
      <c r="B219" s="1087"/>
      <c r="C219" s="1096"/>
      <c r="D219" s="1092"/>
      <c r="E219" s="1092"/>
      <c r="F219" s="1094"/>
      <c r="G219" s="103"/>
      <c r="H219" s="101"/>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93"/>
      <c r="I220" s="1091"/>
      <c r="J220" s="1083"/>
      <c r="K220" s="1083"/>
      <c r="L220" s="932"/>
    </row>
    <row r="221" spans="1:12" s="106" customFormat="1" ht="15.75" hidden="1" customHeight="1" outlineLevel="1">
      <c r="A221" s="932"/>
      <c r="B221" s="1086"/>
      <c r="C221" s="1095"/>
      <c r="D221" s="1091"/>
      <c r="E221" s="1091"/>
      <c r="F221" s="1093"/>
      <c r="G221" s="98"/>
      <c r="H221" s="93"/>
      <c r="I221" s="1091"/>
      <c r="J221" s="1084"/>
      <c r="K221" s="1084"/>
      <c r="L221" s="932"/>
    </row>
    <row r="222" spans="1:12" s="106" customFormat="1" ht="15.75" hidden="1" customHeight="1" outlineLevel="1">
      <c r="A222" s="932"/>
      <c r="B222" s="1087"/>
      <c r="C222" s="1096"/>
      <c r="D222" s="1092"/>
      <c r="E222" s="1092"/>
      <c r="F222" s="1094"/>
      <c r="G222" s="103"/>
      <c r="H222" s="101"/>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93"/>
      <c r="I223" s="1091"/>
      <c r="J223" s="1083"/>
      <c r="K223" s="1083"/>
      <c r="L223" s="932"/>
    </row>
    <row r="224" spans="1:12" s="106" customFormat="1" ht="15.75" hidden="1" customHeight="1" outlineLevel="1">
      <c r="A224" s="932"/>
      <c r="B224" s="1086"/>
      <c r="C224" s="1095"/>
      <c r="D224" s="1091"/>
      <c r="E224" s="1091"/>
      <c r="F224" s="1093"/>
      <c r="G224" s="98"/>
      <c r="H224" s="93"/>
      <c r="I224" s="1091"/>
      <c r="J224" s="1084"/>
      <c r="K224" s="1084"/>
      <c r="L224" s="932"/>
    </row>
    <row r="225" spans="1:12" s="106" customFormat="1" ht="15.75" hidden="1" customHeight="1" outlineLevel="1">
      <c r="A225" s="932"/>
      <c r="B225" s="1087"/>
      <c r="C225" s="1096"/>
      <c r="D225" s="1092"/>
      <c r="E225" s="1092"/>
      <c r="F225" s="1094"/>
      <c r="G225" s="103"/>
      <c r="H225" s="101"/>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93"/>
      <c r="I226" s="1091"/>
      <c r="J226" s="1083"/>
      <c r="K226" s="1083"/>
      <c r="L226" s="932"/>
    </row>
    <row r="227" spans="1:12" s="106" customFormat="1" ht="15.75" hidden="1" customHeight="1" outlineLevel="1">
      <c r="A227" s="932"/>
      <c r="B227" s="1086"/>
      <c r="C227" s="1095"/>
      <c r="D227" s="1091"/>
      <c r="E227" s="1091"/>
      <c r="F227" s="1093"/>
      <c r="G227" s="98"/>
      <c r="H227" s="93"/>
      <c r="I227" s="1091"/>
      <c r="J227" s="1084"/>
      <c r="K227" s="1084"/>
      <c r="L227" s="932"/>
    </row>
    <row r="228" spans="1:12" s="106" customFormat="1" ht="15.75" hidden="1" customHeight="1" outlineLevel="1">
      <c r="A228" s="932"/>
      <c r="B228" s="1087"/>
      <c r="C228" s="1096"/>
      <c r="D228" s="1092"/>
      <c r="E228" s="1092"/>
      <c r="F228" s="1094"/>
      <c r="G228" s="103"/>
      <c r="H228" s="101"/>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93"/>
      <c r="I229" s="1091"/>
      <c r="J229" s="1083"/>
      <c r="K229" s="1083"/>
      <c r="L229" s="932"/>
    </row>
    <row r="230" spans="1:12" s="106" customFormat="1" ht="15.75" hidden="1" customHeight="1" outlineLevel="1">
      <c r="A230" s="932"/>
      <c r="B230" s="1086"/>
      <c r="C230" s="1095"/>
      <c r="D230" s="1091"/>
      <c r="E230" s="1091"/>
      <c r="F230" s="1093"/>
      <c r="G230" s="98"/>
      <c r="H230" s="93"/>
      <c r="I230" s="1091"/>
      <c r="J230" s="1084"/>
      <c r="K230" s="1084"/>
      <c r="L230" s="932"/>
    </row>
    <row r="231" spans="1:12" s="106" customFormat="1" ht="15.75" hidden="1" customHeight="1" outlineLevel="1">
      <c r="A231" s="932"/>
      <c r="B231" s="1087"/>
      <c r="C231" s="1096"/>
      <c r="D231" s="1092"/>
      <c r="E231" s="1092"/>
      <c r="F231" s="1094"/>
      <c r="G231" s="103"/>
      <c r="H231" s="101"/>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93"/>
      <c r="I232" s="1091"/>
      <c r="J232" s="1083"/>
      <c r="K232" s="1083"/>
      <c r="L232" s="932"/>
    </row>
    <row r="233" spans="1:12" s="106" customFormat="1" ht="15.75" hidden="1" customHeight="1" outlineLevel="1">
      <c r="A233" s="932"/>
      <c r="B233" s="1086"/>
      <c r="C233" s="1095"/>
      <c r="D233" s="1091"/>
      <c r="E233" s="1091"/>
      <c r="F233" s="1093"/>
      <c r="G233" s="98"/>
      <c r="H233" s="93"/>
      <c r="I233" s="1091"/>
      <c r="J233" s="1084"/>
      <c r="K233" s="1084"/>
      <c r="L233" s="932"/>
    </row>
    <row r="234" spans="1:12" s="106" customFormat="1" ht="15.75" hidden="1" customHeight="1" outlineLevel="1">
      <c r="A234" s="932"/>
      <c r="B234" s="1087"/>
      <c r="C234" s="1096"/>
      <c r="D234" s="1092"/>
      <c r="E234" s="1092"/>
      <c r="F234" s="1094"/>
      <c r="G234" s="103"/>
      <c r="H234" s="101"/>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93"/>
      <c r="I235" s="1091"/>
      <c r="J235" s="1083"/>
      <c r="K235" s="1083"/>
      <c r="L235" s="932"/>
    </row>
    <row r="236" spans="1:12" s="106" customFormat="1" ht="15.75" hidden="1" customHeight="1" outlineLevel="1">
      <c r="A236" s="932"/>
      <c r="B236" s="1086"/>
      <c r="C236" s="1095"/>
      <c r="D236" s="1091"/>
      <c r="E236" s="1091"/>
      <c r="F236" s="1093"/>
      <c r="G236" s="98"/>
      <c r="H236" s="93"/>
      <c r="I236" s="1091"/>
      <c r="J236" s="1084"/>
      <c r="K236" s="1084"/>
      <c r="L236" s="932"/>
    </row>
    <row r="237" spans="1:12" s="106" customFormat="1" ht="15.75" hidden="1" customHeight="1" outlineLevel="1">
      <c r="A237" s="932"/>
      <c r="B237" s="1087"/>
      <c r="C237" s="1096"/>
      <c r="D237" s="1092"/>
      <c r="E237" s="1092"/>
      <c r="F237" s="1094"/>
      <c r="G237" s="103"/>
      <c r="H237" s="101"/>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93"/>
      <c r="I238" s="1091"/>
      <c r="J238" s="1083"/>
      <c r="K238" s="1083"/>
      <c r="L238" s="932"/>
    </row>
    <row r="239" spans="1:12" s="106" customFormat="1" ht="15.75" hidden="1" customHeight="1" outlineLevel="1">
      <c r="A239" s="932"/>
      <c r="B239" s="1086"/>
      <c r="C239" s="1095"/>
      <c r="D239" s="1091"/>
      <c r="E239" s="1091"/>
      <c r="F239" s="1093"/>
      <c r="G239" s="98"/>
      <c r="H239" s="93"/>
      <c r="I239" s="1091"/>
      <c r="J239" s="1084"/>
      <c r="K239" s="1084"/>
      <c r="L239" s="932"/>
    </row>
    <row r="240" spans="1:12" s="106" customFormat="1" ht="15.75" hidden="1" customHeight="1" outlineLevel="1">
      <c r="A240" s="932"/>
      <c r="B240" s="1087"/>
      <c r="C240" s="1096"/>
      <c r="D240" s="1092"/>
      <c r="E240" s="1092"/>
      <c r="F240" s="1094"/>
      <c r="G240" s="103"/>
      <c r="H240" s="101"/>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93"/>
      <c r="I241" s="1091"/>
      <c r="J241" s="1083"/>
      <c r="K241" s="1083"/>
      <c r="L241" s="932"/>
    </row>
    <row r="242" spans="1:12" s="106" customFormat="1" ht="15.75" hidden="1" customHeight="1" outlineLevel="1">
      <c r="A242" s="932"/>
      <c r="B242" s="1086"/>
      <c r="C242" s="1095"/>
      <c r="D242" s="1091"/>
      <c r="E242" s="1091"/>
      <c r="F242" s="1093"/>
      <c r="G242" s="98"/>
      <c r="H242" s="93"/>
      <c r="I242" s="1091"/>
      <c r="J242" s="1084"/>
      <c r="K242" s="1084"/>
      <c r="L242" s="932"/>
    </row>
    <row r="243" spans="1:12" s="106" customFormat="1" ht="15.75" hidden="1" customHeight="1" outlineLevel="1">
      <c r="A243" s="932"/>
      <c r="B243" s="1087"/>
      <c r="C243" s="1096"/>
      <c r="D243" s="1092"/>
      <c r="E243" s="1092"/>
      <c r="F243" s="1094"/>
      <c r="G243" s="103"/>
      <c r="H243" s="101"/>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93"/>
      <c r="I244" s="1091"/>
      <c r="J244" s="1083"/>
      <c r="K244" s="1083"/>
      <c r="L244" s="932"/>
    </row>
    <row r="245" spans="1:12" s="106" customFormat="1" ht="15.75" hidden="1" customHeight="1" outlineLevel="1">
      <c r="A245" s="932"/>
      <c r="B245" s="1086"/>
      <c r="C245" s="1095"/>
      <c r="D245" s="1091"/>
      <c r="E245" s="1091"/>
      <c r="F245" s="1093"/>
      <c r="G245" s="98"/>
      <c r="H245" s="93"/>
      <c r="I245" s="1091"/>
      <c r="J245" s="1084"/>
      <c r="K245" s="1084"/>
      <c r="L245" s="932"/>
    </row>
    <row r="246" spans="1:12" s="106" customFormat="1" ht="15.75" hidden="1" customHeight="1" outlineLevel="1">
      <c r="A246" s="932"/>
      <c r="B246" s="1087"/>
      <c r="C246" s="1096"/>
      <c r="D246" s="1092"/>
      <c r="E246" s="1092"/>
      <c r="F246" s="1094"/>
      <c r="G246" s="103"/>
      <c r="H246" s="101"/>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93"/>
      <c r="I247" s="1091"/>
      <c r="J247" s="1083"/>
      <c r="K247" s="1083"/>
      <c r="L247" s="932"/>
    </row>
    <row r="248" spans="1:12" s="106" customFormat="1" ht="15.75" hidden="1" customHeight="1" outlineLevel="1">
      <c r="A248" s="932"/>
      <c r="B248" s="1086"/>
      <c r="C248" s="1095"/>
      <c r="D248" s="1091"/>
      <c r="E248" s="1091"/>
      <c r="F248" s="1093"/>
      <c r="G248" s="98"/>
      <c r="H248" s="93"/>
      <c r="I248" s="1091"/>
      <c r="J248" s="1084"/>
      <c r="K248" s="1084"/>
      <c r="L248" s="932"/>
    </row>
    <row r="249" spans="1:12" s="106" customFormat="1" ht="15.75" hidden="1" customHeight="1" outlineLevel="1">
      <c r="A249" s="932"/>
      <c r="B249" s="1087"/>
      <c r="C249" s="1096"/>
      <c r="D249" s="1092"/>
      <c r="E249" s="1092"/>
      <c r="F249" s="1094"/>
      <c r="G249" s="103"/>
      <c r="H249" s="101"/>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93"/>
      <c r="I250" s="1091"/>
      <c r="J250" s="1083"/>
      <c r="K250" s="1083"/>
      <c r="L250" s="932"/>
    </row>
    <row r="251" spans="1:12" s="106" customFormat="1" ht="15.75" hidden="1" customHeight="1" outlineLevel="1">
      <c r="A251" s="932"/>
      <c r="B251" s="1086"/>
      <c r="C251" s="1095"/>
      <c r="D251" s="1091"/>
      <c r="E251" s="1091"/>
      <c r="F251" s="1093"/>
      <c r="G251" s="98"/>
      <c r="H251" s="93"/>
      <c r="I251" s="1091"/>
      <c r="J251" s="1084"/>
      <c r="K251" s="1084"/>
      <c r="L251" s="932"/>
    </row>
    <row r="252" spans="1:12" s="106" customFormat="1" ht="15.75" hidden="1" customHeight="1" outlineLevel="1">
      <c r="A252" s="932"/>
      <c r="B252" s="1087"/>
      <c r="C252" s="1096"/>
      <c r="D252" s="1092"/>
      <c r="E252" s="1092"/>
      <c r="F252" s="1094"/>
      <c r="G252" s="103"/>
      <c r="H252" s="101"/>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93"/>
      <c r="I253" s="1091"/>
      <c r="J253" s="1083"/>
      <c r="K253" s="1083"/>
      <c r="L253" s="932"/>
    </row>
    <row r="254" spans="1:12" s="106" customFormat="1" ht="15.75" hidden="1" customHeight="1" outlineLevel="1">
      <c r="A254" s="932"/>
      <c r="B254" s="1086"/>
      <c r="C254" s="1095"/>
      <c r="D254" s="1091"/>
      <c r="E254" s="1091"/>
      <c r="F254" s="1093"/>
      <c r="G254" s="98"/>
      <c r="H254" s="93"/>
      <c r="I254" s="1091"/>
      <c r="J254" s="1084"/>
      <c r="K254" s="1084"/>
      <c r="L254" s="932"/>
    </row>
    <row r="255" spans="1:12" s="106" customFormat="1" ht="15.75" hidden="1" customHeight="1" outlineLevel="1">
      <c r="A255" s="932"/>
      <c r="B255" s="1087"/>
      <c r="C255" s="1096"/>
      <c r="D255" s="1092"/>
      <c r="E255" s="1092"/>
      <c r="F255" s="1094"/>
      <c r="G255" s="103"/>
      <c r="H255" s="101"/>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93"/>
      <c r="I256" s="1091"/>
      <c r="J256" s="1083"/>
      <c r="K256" s="1083"/>
      <c r="L256" s="932"/>
    </row>
    <row r="257" spans="1:12" s="106" customFormat="1" ht="15.75" hidden="1" customHeight="1" outlineLevel="1">
      <c r="A257" s="932"/>
      <c r="B257" s="1086"/>
      <c r="C257" s="1095"/>
      <c r="D257" s="1091"/>
      <c r="E257" s="1091"/>
      <c r="F257" s="1093"/>
      <c r="G257" s="98"/>
      <c r="H257" s="93"/>
      <c r="I257" s="1091"/>
      <c r="J257" s="1084"/>
      <c r="K257" s="1084"/>
      <c r="L257" s="932"/>
    </row>
    <row r="258" spans="1:12" s="106" customFormat="1" ht="15.75" hidden="1" customHeight="1" outlineLevel="1">
      <c r="A258" s="932"/>
      <c r="B258" s="1087"/>
      <c r="C258" s="1096"/>
      <c r="D258" s="1092"/>
      <c r="E258" s="1092"/>
      <c r="F258" s="1094"/>
      <c r="G258" s="103"/>
      <c r="H258" s="101"/>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93"/>
      <c r="I259" s="1091"/>
      <c r="J259" s="1083"/>
      <c r="K259" s="1083"/>
      <c r="L259" s="932"/>
    </row>
    <row r="260" spans="1:12" s="106" customFormat="1" ht="15.75" hidden="1" customHeight="1" outlineLevel="1">
      <c r="A260" s="932"/>
      <c r="B260" s="1086"/>
      <c r="C260" s="1095"/>
      <c r="D260" s="1091"/>
      <c r="E260" s="1091"/>
      <c r="F260" s="1093"/>
      <c r="G260" s="98"/>
      <c r="H260" s="93"/>
      <c r="I260" s="1091"/>
      <c r="J260" s="1084"/>
      <c r="K260" s="1084"/>
      <c r="L260" s="932"/>
    </row>
    <row r="261" spans="1:12" s="106" customFormat="1" ht="15.75" hidden="1" customHeight="1" outlineLevel="1">
      <c r="A261" s="932"/>
      <c r="B261" s="1087"/>
      <c r="C261" s="1096"/>
      <c r="D261" s="1092"/>
      <c r="E261" s="1092"/>
      <c r="F261" s="1094"/>
      <c r="G261" s="103"/>
      <c r="H261" s="101"/>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93"/>
      <c r="I262" s="1091"/>
      <c r="J262" s="1083"/>
      <c r="K262" s="1083"/>
      <c r="L262" s="932"/>
    </row>
    <row r="263" spans="1:12" s="106" customFormat="1" ht="15.75" hidden="1" customHeight="1" outlineLevel="1">
      <c r="A263" s="932"/>
      <c r="B263" s="1086"/>
      <c r="C263" s="1095"/>
      <c r="D263" s="1091"/>
      <c r="E263" s="1091"/>
      <c r="F263" s="1093"/>
      <c r="G263" s="98"/>
      <c r="H263" s="93"/>
      <c r="I263" s="1091"/>
      <c r="J263" s="1084"/>
      <c r="K263" s="1084"/>
      <c r="L263" s="932"/>
    </row>
    <row r="264" spans="1:12" s="106" customFormat="1" ht="15.75" hidden="1" customHeight="1" outlineLevel="1">
      <c r="A264" s="932"/>
      <c r="B264" s="1087"/>
      <c r="C264" s="1096"/>
      <c r="D264" s="1092"/>
      <c r="E264" s="1092"/>
      <c r="F264" s="1094"/>
      <c r="G264" s="103"/>
      <c r="H264" s="101"/>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93"/>
      <c r="I265" s="1091"/>
      <c r="J265" s="1083"/>
      <c r="K265" s="1083"/>
      <c r="L265" s="932"/>
    </row>
    <row r="266" spans="1:12" s="106" customFormat="1" ht="15.75" hidden="1" customHeight="1" outlineLevel="1">
      <c r="A266" s="932"/>
      <c r="B266" s="1086"/>
      <c r="C266" s="1095"/>
      <c r="D266" s="1091"/>
      <c r="E266" s="1091"/>
      <c r="F266" s="1093"/>
      <c r="G266" s="98"/>
      <c r="H266" s="93"/>
      <c r="I266" s="1091"/>
      <c r="J266" s="1084"/>
      <c r="K266" s="1084"/>
      <c r="L266" s="932"/>
    </row>
    <row r="267" spans="1:12" s="106" customFormat="1" ht="15.75" hidden="1" customHeight="1" outlineLevel="1">
      <c r="A267" s="932"/>
      <c r="B267" s="1087"/>
      <c r="C267" s="1096"/>
      <c r="D267" s="1092"/>
      <c r="E267" s="1092"/>
      <c r="F267" s="1094"/>
      <c r="G267" s="103"/>
      <c r="H267" s="101"/>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93"/>
      <c r="I268" s="1091"/>
      <c r="J268" s="1083"/>
      <c r="K268" s="1083"/>
      <c r="L268" s="932"/>
    </row>
    <row r="269" spans="1:12" s="106" customFormat="1" ht="15.75" hidden="1" customHeight="1" outlineLevel="1">
      <c r="A269" s="932"/>
      <c r="B269" s="1086"/>
      <c r="C269" s="1095"/>
      <c r="D269" s="1091"/>
      <c r="E269" s="1091"/>
      <c r="F269" s="1093"/>
      <c r="G269" s="98"/>
      <c r="H269" s="93"/>
      <c r="I269" s="1091"/>
      <c r="J269" s="1084"/>
      <c r="K269" s="1084"/>
      <c r="L269" s="932"/>
    </row>
    <row r="270" spans="1:12" s="106" customFormat="1" ht="15.75" hidden="1" customHeight="1" outlineLevel="1">
      <c r="A270" s="932"/>
      <c r="B270" s="1087"/>
      <c r="C270" s="1096"/>
      <c r="D270" s="1092"/>
      <c r="E270" s="1092"/>
      <c r="F270" s="1094"/>
      <c r="G270" s="103"/>
      <c r="H270" s="101"/>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93"/>
      <c r="I271" s="1091"/>
      <c r="J271" s="1083"/>
      <c r="K271" s="1083"/>
      <c r="L271" s="932"/>
    </row>
    <row r="272" spans="1:12" s="106" customFormat="1" ht="15.75" hidden="1" customHeight="1" outlineLevel="1">
      <c r="A272" s="932"/>
      <c r="B272" s="1086"/>
      <c r="C272" s="1095"/>
      <c r="D272" s="1091"/>
      <c r="E272" s="1091"/>
      <c r="F272" s="1093"/>
      <c r="G272" s="98"/>
      <c r="H272" s="93"/>
      <c r="I272" s="1091"/>
      <c r="J272" s="1084"/>
      <c r="K272" s="1084"/>
      <c r="L272" s="932"/>
    </row>
    <row r="273" spans="1:12" s="106" customFormat="1" ht="15.75" hidden="1" customHeight="1" outlineLevel="1">
      <c r="A273" s="932"/>
      <c r="B273" s="1087"/>
      <c r="C273" s="1096"/>
      <c r="D273" s="1092"/>
      <c r="E273" s="1092"/>
      <c r="F273" s="1094"/>
      <c r="G273" s="103"/>
      <c r="H273" s="101"/>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93"/>
      <c r="I274" s="1091"/>
      <c r="J274" s="1083"/>
      <c r="K274" s="1083"/>
      <c r="L274" s="932"/>
    </row>
    <row r="275" spans="1:12" s="106" customFormat="1" ht="15.75" hidden="1" customHeight="1" outlineLevel="1">
      <c r="A275" s="932"/>
      <c r="B275" s="1086"/>
      <c r="C275" s="1095"/>
      <c r="D275" s="1091"/>
      <c r="E275" s="1091"/>
      <c r="F275" s="1093"/>
      <c r="G275" s="98"/>
      <c r="H275" s="93"/>
      <c r="I275" s="1091"/>
      <c r="J275" s="1084"/>
      <c r="K275" s="1084"/>
      <c r="L275" s="932"/>
    </row>
    <row r="276" spans="1:12" s="106" customFormat="1" ht="15.75" hidden="1" customHeight="1" outlineLevel="1">
      <c r="A276" s="932"/>
      <c r="B276" s="1087"/>
      <c r="C276" s="1096"/>
      <c r="D276" s="1092"/>
      <c r="E276" s="1092"/>
      <c r="F276" s="1094"/>
      <c r="G276" s="103"/>
      <c r="H276" s="101"/>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93"/>
      <c r="I277" s="1091"/>
      <c r="J277" s="1083"/>
      <c r="K277" s="1083"/>
      <c r="L277" s="932"/>
    </row>
    <row r="278" spans="1:12" s="106" customFormat="1" ht="15.75" hidden="1" customHeight="1" outlineLevel="1">
      <c r="A278" s="932"/>
      <c r="B278" s="1086"/>
      <c r="C278" s="1095"/>
      <c r="D278" s="1091"/>
      <c r="E278" s="1091"/>
      <c r="F278" s="1093"/>
      <c r="G278" s="98"/>
      <c r="H278" s="93"/>
      <c r="I278" s="1091"/>
      <c r="J278" s="1084"/>
      <c r="K278" s="1084"/>
      <c r="L278" s="932"/>
    </row>
    <row r="279" spans="1:12" s="106" customFormat="1" ht="15.75" hidden="1" customHeight="1" outlineLevel="1">
      <c r="A279" s="932"/>
      <c r="B279" s="1087"/>
      <c r="C279" s="1096"/>
      <c r="D279" s="1092"/>
      <c r="E279" s="1092"/>
      <c r="F279" s="1094"/>
      <c r="G279" s="103"/>
      <c r="H279" s="101"/>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93"/>
      <c r="I280" s="1091"/>
      <c r="J280" s="1083"/>
      <c r="K280" s="1083"/>
      <c r="L280" s="932"/>
    </row>
    <row r="281" spans="1:12" s="106" customFormat="1" ht="15.75" hidden="1" customHeight="1" outlineLevel="1">
      <c r="A281" s="932"/>
      <c r="B281" s="1086"/>
      <c r="C281" s="1095"/>
      <c r="D281" s="1091"/>
      <c r="E281" s="1091"/>
      <c r="F281" s="1093"/>
      <c r="G281" s="98"/>
      <c r="H281" s="93"/>
      <c r="I281" s="1091"/>
      <c r="J281" s="1084"/>
      <c r="K281" s="1084"/>
      <c r="L281" s="932"/>
    </row>
    <row r="282" spans="1:12" s="106" customFormat="1" ht="15.75" hidden="1" customHeight="1" outlineLevel="1">
      <c r="A282" s="932"/>
      <c r="B282" s="1087"/>
      <c r="C282" s="1096"/>
      <c r="D282" s="1092"/>
      <c r="E282" s="1092"/>
      <c r="F282" s="1094"/>
      <c r="G282" s="103"/>
      <c r="H282" s="101"/>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93"/>
      <c r="I283" s="1091"/>
      <c r="J283" s="1083"/>
      <c r="K283" s="1083"/>
      <c r="L283" s="932"/>
    </row>
    <row r="284" spans="1:12" s="106" customFormat="1" ht="15.75" hidden="1" customHeight="1" outlineLevel="1">
      <c r="A284" s="932"/>
      <c r="B284" s="1086"/>
      <c r="C284" s="1095"/>
      <c r="D284" s="1091"/>
      <c r="E284" s="1091"/>
      <c r="F284" s="1093"/>
      <c r="G284" s="98"/>
      <c r="H284" s="93"/>
      <c r="I284" s="1091"/>
      <c r="J284" s="1084"/>
      <c r="K284" s="1084"/>
      <c r="L284" s="932"/>
    </row>
    <row r="285" spans="1:12" s="106" customFormat="1" ht="15.75" hidden="1" customHeight="1" outlineLevel="1">
      <c r="A285" s="932"/>
      <c r="B285" s="1087"/>
      <c r="C285" s="1096"/>
      <c r="D285" s="1092"/>
      <c r="E285" s="1092"/>
      <c r="F285" s="1094"/>
      <c r="G285" s="103"/>
      <c r="H285" s="101"/>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93"/>
      <c r="I286" s="1091"/>
      <c r="J286" s="1083"/>
      <c r="K286" s="1083"/>
      <c r="L286" s="932"/>
    </row>
    <row r="287" spans="1:12" s="106" customFormat="1" ht="15.75" hidden="1" customHeight="1" outlineLevel="1">
      <c r="A287" s="932"/>
      <c r="B287" s="1086"/>
      <c r="C287" s="1095"/>
      <c r="D287" s="1091"/>
      <c r="E287" s="1091"/>
      <c r="F287" s="1093"/>
      <c r="G287" s="98"/>
      <c r="H287" s="93"/>
      <c r="I287" s="1091"/>
      <c r="J287" s="1084"/>
      <c r="K287" s="1084"/>
      <c r="L287" s="932"/>
    </row>
    <row r="288" spans="1:12" s="106" customFormat="1" ht="15.75" hidden="1" customHeight="1" outlineLevel="1">
      <c r="A288" s="932"/>
      <c r="B288" s="1087"/>
      <c r="C288" s="1096"/>
      <c r="D288" s="1092"/>
      <c r="E288" s="1092"/>
      <c r="F288" s="1094"/>
      <c r="G288" s="103"/>
      <c r="H288" s="101"/>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93"/>
      <c r="I289" s="1091"/>
      <c r="J289" s="1083"/>
      <c r="K289" s="1083"/>
      <c r="L289" s="932"/>
    </row>
    <row r="290" spans="1:12" s="106" customFormat="1" ht="15.75" hidden="1" customHeight="1" outlineLevel="1">
      <c r="A290" s="932"/>
      <c r="B290" s="1086"/>
      <c r="C290" s="1095"/>
      <c r="D290" s="1091"/>
      <c r="E290" s="1091"/>
      <c r="F290" s="1093"/>
      <c r="G290" s="98"/>
      <c r="H290" s="93"/>
      <c r="I290" s="1091"/>
      <c r="J290" s="1084"/>
      <c r="K290" s="1084"/>
      <c r="L290" s="932"/>
    </row>
    <row r="291" spans="1:12" s="106" customFormat="1" ht="15.75" hidden="1" customHeight="1" outlineLevel="1">
      <c r="A291" s="932"/>
      <c r="B291" s="1087"/>
      <c r="C291" s="1096"/>
      <c r="D291" s="1092"/>
      <c r="E291" s="1092"/>
      <c r="F291" s="1094"/>
      <c r="G291" s="103"/>
      <c r="H291" s="101"/>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93"/>
      <c r="I292" s="1091"/>
      <c r="J292" s="1083"/>
      <c r="K292" s="1083"/>
      <c r="L292" s="932"/>
    </row>
    <row r="293" spans="1:12" s="106" customFormat="1" ht="15.75" hidden="1" customHeight="1" outlineLevel="1">
      <c r="A293" s="932"/>
      <c r="B293" s="1086"/>
      <c r="C293" s="1095"/>
      <c r="D293" s="1091"/>
      <c r="E293" s="1091"/>
      <c r="F293" s="1093"/>
      <c r="G293" s="98"/>
      <c r="H293" s="93"/>
      <c r="I293" s="1091"/>
      <c r="J293" s="1084"/>
      <c r="K293" s="1084"/>
      <c r="L293" s="932"/>
    </row>
    <row r="294" spans="1:12" s="106" customFormat="1" ht="15.75" hidden="1" customHeight="1" outlineLevel="1">
      <c r="A294" s="932"/>
      <c r="B294" s="1087"/>
      <c r="C294" s="1096"/>
      <c r="D294" s="1092"/>
      <c r="E294" s="1092"/>
      <c r="F294" s="1094"/>
      <c r="G294" s="103"/>
      <c r="H294" s="101"/>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93"/>
      <c r="I295" s="1091"/>
      <c r="J295" s="1083"/>
      <c r="K295" s="1083"/>
      <c r="L295" s="932"/>
    </row>
    <row r="296" spans="1:12" s="106" customFormat="1" ht="15.75" hidden="1" customHeight="1" outlineLevel="1">
      <c r="A296" s="932"/>
      <c r="B296" s="1086"/>
      <c r="C296" s="1095"/>
      <c r="D296" s="1091"/>
      <c r="E296" s="1091"/>
      <c r="F296" s="1093"/>
      <c r="G296" s="98"/>
      <c r="H296" s="93"/>
      <c r="I296" s="1091"/>
      <c r="J296" s="1084"/>
      <c r="K296" s="1084"/>
      <c r="L296" s="932"/>
    </row>
    <row r="297" spans="1:12" s="106" customFormat="1" ht="15.75" hidden="1" customHeight="1" outlineLevel="1">
      <c r="A297" s="932"/>
      <c r="B297" s="1087"/>
      <c r="C297" s="1096"/>
      <c r="D297" s="1092"/>
      <c r="E297" s="1092"/>
      <c r="F297" s="1094"/>
      <c r="G297" s="103"/>
      <c r="H297" s="101"/>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93"/>
      <c r="I298" s="1091"/>
      <c r="J298" s="1083"/>
      <c r="K298" s="1083"/>
      <c r="L298" s="932"/>
    </row>
    <row r="299" spans="1:12" s="106" customFormat="1" ht="15.75" hidden="1" customHeight="1" outlineLevel="1">
      <c r="A299" s="932"/>
      <c r="B299" s="1086"/>
      <c r="C299" s="1095"/>
      <c r="D299" s="1091"/>
      <c r="E299" s="1091"/>
      <c r="F299" s="1093"/>
      <c r="G299" s="98"/>
      <c r="H299" s="93"/>
      <c r="I299" s="1091"/>
      <c r="J299" s="1084"/>
      <c r="K299" s="1084"/>
      <c r="L299" s="932"/>
    </row>
    <row r="300" spans="1:12" s="106" customFormat="1" ht="15.75" hidden="1" customHeight="1" outlineLevel="1">
      <c r="A300" s="932"/>
      <c r="B300" s="1087"/>
      <c r="C300" s="1096"/>
      <c r="D300" s="1092"/>
      <c r="E300" s="1092"/>
      <c r="F300" s="1094"/>
      <c r="G300" s="103"/>
      <c r="H300" s="101"/>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93"/>
      <c r="I301" s="1091"/>
      <c r="J301" s="1083"/>
      <c r="K301" s="1083"/>
      <c r="L301" s="932"/>
    </row>
    <row r="302" spans="1:12" s="106" customFormat="1" ht="15.75" hidden="1" customHeight="1" outlineLevel="1">
      <c r="A302" s="932"/>
      <c r="B302" s="1086"/>
      <c r="C302" s="1095"/>
      <c r="D302" s="1091"/>
      <c r="E302" s="1091"/>
      <c r="F302" s="1093"/>
      <c r="G302" s="98"/>
      <c r="H302" s="93"/>
      <c r="I302" s="1091"/>
      <c r="J302" s="1084"/>
      <c r="K302" s="1084"/>
      <c r="L302" s="932"/>
    </row>
    <row r="303" spans="1:12" s="106" customFormat="1" ht="15.75" hidden="1" customHeight="1" outlineLevel="1">
      <c r="A303" s="932"/>
      <c r="B303" s="1087"/>
      <c r="C303" s="1096"/>
      <c r="D303" s="1092"/>
      <c r="E303" s="1092"/>
      <c r="F303" s="1094"/>
      <c r="G303" s="103"/>
      <c r="H303" s="101"/>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93"/>
      <c r="I304" s="1091"/>
      <c r="J304" s="1083"/>
      <c r="K304" s="1083"/>
      <c r="L304" s="932"/>
    </row>
    <row r="305" spans="1:12" s="106" customFormat="1" ht="15.75" hidden="1" customHeight="1" outlineLevel="1">
      <c r="A305" s="932"/>
      <c r="B305" s="1086"/>
      <c r="C305" s="1095"/>
      <c r="D305" s="1091"/>
      <c r="E305" s="1091"/>
      <c r="F305" s="1093"/>
      <c r="G305" s="98"/>
      <c r="H305" s="93"/>
      <c r="I305" s="1091"/>
      <c r="J305" s="1084"/>
      <c r="K305" s="1084"/>
      <c r="L305" s="932"/>
    </row>
    <row r="306" spans="1:12" s="106" customFormat="1" ht="15.75" hidden="1" customHeight="1" outlineLevel="1">
      <c r="A306" s="932"/>
      <c r="B306" s="1087"/>
      <c r="C306" s="1096"/>
      <c r="D306" s="1092"/>
      <c r="E306" s="1092"/>
      <c r="F306" s="1094"/>
      <c r="G306" s="103"/>
      <c r="H306" s="101"/>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93"/>
      <c r="I307" s="1091"/>
      <c r="J307" s="1083"/>
      <c r="K307" s="1083"/>
      <c r="L307" s="932"/>
    </row>
    <row r="308" spans="1:12" s="106" customFormat="1" ht="15.75" hidden="1" customHeight="1" outlineLevel="1">
      <c r="A308" s="932"/>
      <c r="B308" s="1086"/>
      <c r="C308" s="1095"/>
      <c r="D308" s="1091"/>
      <c r="E308" s="1091"/>
      <c r="F308" s="1093"/>
      <c r="G308" s="98"/>
      <c r="H308" s="93"/>
      <c r="I308" s="1091"/>
      <c r="J308" s="1084"/>
      <c r="K308" s="1084"/>
      <c r="L308" s="932"/>
    </row>
    <row r="309" spans="1:12" s="106" customFormat="1" ht="15.75" hidden="1" customHeight="1" outlineLevel="1">
      <c r="A309" s="932"/>
      <c r="B309" s="1087"/>
      <c r="C309" s="1096"/>
      <c r="D309" s="1092"/>
      <c r="E309" s="1092"/>
      <c r="F309" s="1094"/>
      <c r="G309" s="103"/>
      <c r="H309" s="101"/>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93"/>
      <c r="I310" s="1091"/>
      <c r="J310" s="1083"/>
      <c r="K310" s="1083"/>
      <c r="L310" s="932"/>
    </row>
    <row r="311" spans="1:12" s="106" customFormat="1" ht="15.75" hidden="1" customHeight="1" outlineLevel="1">
      <c r="A311" s="932"/>
      <c r="B311" s="1086"/>
      <c r="C311" s="1095"/>
      <c r="D311" s="1091"/>
      <c r="E311" s="1091"/>
      <c r="F311" s="1093"/>
      <c r="G311" s="98"/>
      <c r="H311" s="93"/>
      <c r="I311" s="1091"/>
      <c r="J311" s="1084"/>
      <c r="K311" s="1084"/>
      <c r="L311" s="932"/>
    </row>
    <row r="312" spans="1:12" s="106" customFormat="1" ht="15.75" hidden="1" customHeight="1" outlineLevel="1">
      <c r="A312" s="932"/>
      <c r="B312" s="1087"/>
      <c r="C312" s="1096"/>
      <c r="D312" s="1092"/>
      <c r="E312" s="1092"/>
      <c r="F312" s="1094"/>
      <c r="G312" s="103"/>
      <c r="H312" s="101"/>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93"/>
      <c r="I313" s="1091"/>
      <c r="J313" s="1083"/>
      <c r="K313" s="1083"/>
      <c r="L313" s="932"/>
    </row>
    <row r="314" spans="1:12" s="106" customFormat="1" ht="15.75" hidden="1" customHeight="1" outlineLevel="1">
      <c r="A314" s="932"/>
      <c r="B314" s="1086"/>
      <c r="C314" s="1095"/>
      <c r="D314" s="1091"/>
      <c r="E314" s="1091"/>
      <c r="F314" s="1093"/>
      <c r="G314" s="98"/>
      <c r="H314" s="93"/>
      <c r="I314" s="1091"/>
      <c r="J314" s="1084"/>
      <c r="K314" s="1084"/>
      <c r="L314" s="932"/>
    </row>
    <row r="315" spans="1:12" s="106" customFormat="1" ht="15.75" hidden="1" customHeight="1" outlineLevel="1">
      <c r="A315" s="932"/>
      <c r="B315" s="1087"/>
      <c r="C315" s="1096"/>
      <c r="D315" s="1092"/>
      <c r="E315" s="1092"/>
      <c r="F315" s="1094"/>
      <c r="G315" s="103"/>
      <c r="H315" s="101"/>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93"/>
      <c r="I316" s="1091"/>
      <c r="J316" s="1083"/>
      <c r="K316" s="1083"/>
      <c r="L316" s="932"/>
    </row>
    <row r="317" spans="1:12" s="106" customFormat="1" ht="15.75" hidden="1" customHeight="1" outlineLevel="1">
      <c r="A317" s="932"/>
      <c r="B317" s="1086"/>
      <c r="C317" s="1095"/>
      <c r="D317" s="1091"/>
      <c r="E317" s="1091"/>
      <c r="F317" s="1093"/>
      <c r="G317" s="98"/>
      <c r="H317" s="93"/>
      <c r="I317" s="1091"/>
      <c r="J317" s="1084"/>
      <c r="K317" s="1084"/>
      <c r="L317" s="932"/>
    </row>
    <row r="318" spans="1:12" s="106" customFormat="1" ht="15.75" hidden="1" customHeight="1" outlineLevel="1">
      <c r="A318" s="932"/>
      <c r="B318" s="1087"/>
      <c r="C318" s="1096"/>
      <c r="D318" s="1092"/>
      <c r="E318" s="1092"/>
      <c r="F318" s="1094"/>
      <c r="G318" s="103"/>
      <c r="H318" s="101"/>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93"/>
      <c r="I319" s="1091"/>
      <c r="J319" s="1083"/>
      <c r="K319" s="1083"/>
      <c r="L319" s="932"/>
    </row>
    <row r="320" spans="1:12" s="106" customFormat="1" ht="15.75" hidden="1" customHeight="1" outlineLevel="1">
      <c r="A320" s="932"/>
      <c r="B320" s="1086"/>
      <c r="C320" s="1095"/>
      <c r="D320" s="1091"/>
      <c r="E320" s="1091"/>
      <c r="F320" s="1093"/>
      <c r="G320" s="98"/>
      <c r="H320" s="93"/>
      <c r="I320" s="1091"/>
      <c r="J320" s="1084"/>
      <c r="K320" s="1084"/>
      <c r="L320" s="932"/>
    </row>
    <row r="321" spans="1:12" s="106" customFormat="1" ht="15.75" hidden="1" customHeight="1" outlineLevel="1">
      <c r="A321" s="932"/>
      <c r="B321" s="1087"/>
      <c r="C321" s="1096"/>
      <c r="D321" s="1092"/>
      <c r="E321" s="1092"/>
      <c r="F321" s="1094"/>
      <c r="G321" s="103"/>
      <c r="H321" s="101"/>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93"/>
      <c r="I322" s="1091"/>
      <c r="J322" s="1083"/>
      <c r="K322" s="1083"/>
      <c r="L322" s="932"/>
    </row>
    <row r="323" spans="1:12" s="106" customFormat="1" ht="15.75" hidden="1" customHeight="1" outlineLevel="1">
      <c r="A323" s="932"/>
      <c r="B323" s="1086"/>
      <c r="C323" s="1095"/>
      <c r="D323" s="1091"/>
      <c r="E323" s="1091"/>
      <c r="F323" s="1093"/>
      <c r="G323" s="98"/>
      <c r="H323" s="93"/>
      <c r="I323" s="1091"/>
      <c r="J323" s="1084"/>
      <c r="K323" s="1084"/>
      <c r="L323" s="932"/>
    </row>
    <row r="324" spans="1:12" s="106" customFormat="1" ht="15.75" hidden="1" customHeight="1" outlineLevel="1">
      <c r="A324" s="932"/>
      <c r="B324" s="1087"/>
      <c r="C324" s="1096"/>
      <c r="D324" s="1092"/>
      <c r="E324" s="1092"/>
      <c r="F324" s="1094"/>
      <c r="G324" s="103"/>
      <c r="H324" s="101"/>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93"/>
      <c r="I325" s="1091"/>
      <c r="J325" s="1083"/>
      <c r="K325" s="1083"/>
      <c r="L325" s="932"/>
    </row>
    <row r="326" spans="1:12" s="106" customFormat="1" ht="15.75" hidden="1" customHeight="1" outlineLevel="1">
      <c r="A326" s="932"/>
      <c r="B326" s="1086"/>
      <c r="C326" s="1095"/>
      <c r="D326" s="1091"/>
      <c r="E326" s="1091"/>
      <c r="F326" s="1093"/>
      <c r="G326" s="98"/>
      <c r="H326" s="93"/>
      <c r="I326" s="1091"/>
      <c r="J326" s="1084"/>
      <c r="K326" s="1084"/>
      <c r="L326" s="932"/>
    </row>
    <row r="327" spans="1:12" s="106" customFormat="1" ht="15.75" hidden="1" customHeight="1" outlineLevel="1">
      <c r="A327" s="932"/>
      <c r="B327" s="1087"/>
      <c r="C327" s="1096"/>
      <c r="D327" s="1092"/>
      <c r="E327" s="1092"/>
      <c r="F327" s="1094"/>
      <c r="G327" s="103"/>
      <c r="H327" s="101"/>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93"/>
      <c r="I328" s="1091"/>
      <c r="J328" s="1083"/>
      <c r="K328" s="1083"/>
      <c r="L328" s="932"/>
    </row>
    <row r="329" spans="1:12" s="106" customFormat="1" ht="15.75" hidden="1" customHeight="1" outlineLevel="1">
      <c r="A329" s="932"/>
      <c r="B329" s="1086"/>
      <c r="C329" s="1095"/>
      <c r="D329" s="1091"/>
      <c r="E329" s="1091"/>
      <c r="F329" s="1093"/>
      <c r="G329" s="98"/>
      <c r="H329" s="93"/>
      <c r="I329" s="1091"/>
      <c r="J329" s="1084"/>
      <c r="K329" s="1084"/>
      <c r="L329" s="932"/>
    </row>
    <row r="330" spans="1:12" s="106" customFormat="1" ht="15.75" hidden="1" customHeight="1" outlineLevel="1">
      <c r="A330" s="932"/>
      <c r="B330" s="1087"/>
      <c r="C330" s="1096"/>
      <c r="D330" s="1092"/>
      <c r="E330" s="1092"/>
      <c r="F330" s="1094"/>
      <c r="G330" s="103"/>
      <c r="H330" s="101"/>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93"/>
      <c r="I331" s="1091"/>
      <c r="J331" s="1083"/>
      <c r="K331" s="1083"/>
      <c r="L331" s="932"/>
    </row>
    <row r="332" spans="1:12" s="106" customFormat="1" ht="15.75" hidden="1" customHeight="1" outlineLevel="1">
      <c r="A332" s="932"/>
      <c r="B332" s="1086"/>
      <c r="C332" s="1095"/>
      <c r="D332" s="1091"/>
      <c r="E332" s="1091"/>
      <c r="F332" s="1093"/>
      <c r="G332" s="98"/>
      <c r="H332" s="93"/>
      <c r="I332" s="1091"/>
      <c r="J332" s="1084"/>
      <c r="K332" s="1084"/>
      <c r="L332" s="932"/>
    </row>
    <row r="333" spans="1:12" s="106" customFormat="1" ht="15.75" hidden="1" customHeight="1" outlineLevel="1">
      <c r="A333" s="932"/>
      <c r="B333" s="1087"/>
      <c r="C333" s="1096"/>
      <c r="D333" s="1092"/>
      <c r="E333" s="1092"/>
      <c r="F333" s="1094"/>
      <c r="G333" s="103"/>
      <c r="H333" s="101"/>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93"/>
      <c r="I334" s="1091"/>
      <c r="J334" s="1083"/>
      <c r="K334" s="1083"/>
      <c r="L334" s="932"/>
    </row>
    <row r="335" spans="1:12" s="106" customFormat="1" ht="15.75" hidden="1" customHeight="1" outlineLevel="1">
      <c r="A335" s="932"/>
      <c r="B335" s="1086"/>
      <c r="C335" s="1095"/>
      <c r="D335" s="1091"/>
      <c r="E335" s="1091"/>
      <c r="F335" s="1093"/>
      <c r="G335" s="98"/>
      <c r="H335" s="93"/>
      <c r="I335" s="1091"/>
      <c r="J335" s="1084"/>
      <c r="K335" s="1084"/>
      <c r="L335" s="932"/>
    </row>
    <row r="336" spans="1:12" s="106" customFormat="1" ht="15.75" hidden="1" customHeight="1" outlineLevel="1">
      <c r="A336" s="932"/>
      <c r="B336" s="1087"/>
      <c r="C336" s="1096"/>
      <c r="D336" s="1092"/>
      <c r="E336" s="1092"/>
      <c r="F336" s="1094"/>
      <c r="G336" s="103"/>
      <c r="H336" s="101"/>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93"/>
      <c r="I337" s="1091"/>
      <c r="J337" s="1083"/>
      <c r="K337" s="1083"/>
      <c r="L337" s="932"/>
    </row>
    <row r="338" spans="1:12" s="106" customFormat="1" ht="15.75" hidden="1" customHeight="1" outlineLevel="1">
      <c r="A338" s="932"/>
      <c r="B338" s="1086"/>
      <c r="C338" s="1095"/>
      <c r="D338" s="1091"/>
      <c r="E338" s="1091"/>
      <c r="F338" s="1093"/>
      <c r="G338" s="98"/>
      <c r="H338" s="93"/>
      <c r="I338" s="1091"/>
      <c r="J338" s="1084"/>
      <c r="K338" s="1084"/>
      <c r="L338" s="932"/>
    </row>
    <row r="339" spans="1:12" s="106" customFormat="1" ht="15.75" hidden="1" customHeight="1" outlineLevel="1">
      <c r="A339" s="932"/>
      <c r="B339" s="1087"/>
      <c r="C339" s="1096"/>
      <c r="D339" s="1092"/>
      <c r="E339" s="1092"/>
      <c r="F339" s="1094"/>
      <c r="G339" s="103"/>
      <c r="H339" s="101"/>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93"/>
      <c r="I340" s="1091"/>
      <c r="J340" s="1083"/>
      <c r="K340" s="1083"/>
      <c r="L340" s="932"/>
    </row>
    <row r="341" spans="1:12" s="106" customFormat="1" ht="15.75" hidden="1" customHeight="1" outlineLevel="1">
      <c r="A341" s="932"/>
      <c r="B341" s="1086"/>
      <c r="C341" s="1095"/>
      <c r="D341" s="1091"/>
      <c r="E341" s="1091"/>
      <c r="F341" s="1093"/>
      <c r="G341" s="98"/>
      <c r="H341" s="93"/>
      <c r="I341" s="1091"/>
      <c r="J341" s="1084"/>
      <c r="K341" s="1084"/>
      <c r="L341" s="932"/>
    </row>
    <row r="342" spans="1:12" s="106" customFormat="1" ht="15.75" hidden="1" customHeight="1" outlineLevel="1">
      <c r="A342" s="932"/>
      <c r="B342" s="1087"/>
      <c r="C342" s="1096"/>
      <c r="D342" s="1092"/>
      <c r="E342" s="1092"/>
      <c r="F342" s="1094"/>
      <c r="G342" s="103"/>
      <c r="H342" s="101"/>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93"/>
      <c r="I343" s="1091"/>
      <c r="J343" s="1083"/>
      <c r="K343" s="1083"/>
      <c r="L343" s="932"/>
    </row>
    <row r="344" spans="1:12" s="106" customFormat="1" ht="15.75" hidden="1" customHeight="1" outlineLevel="1">
      <c r="A344" s="932"/>
      <c r="B344" s="1086"/>
      <c r="C344" s="1095"/>
      <c r="D344" s="1091"/>
      <c r="E344" s="1091"/>
      <c r="F344" s="1093"/>
      <c r="G344" s="98"/>
      <c r="H344" s="93"/>
      <c r="I344" s="1091"/>
      <c r="J344" s="1084"/>
      <c r="K344" s="1084"/>
      <c r="L344" s="932"/>
    </row>
    <row r="345" spans="1:12" s="106" customFormat="1" ht="15.75" hidden="1" customHeight="1" outlineLevel="1">
      <c r="A345" s="932"/>
      <c r="B345" s="1087"/>
      <c r="C345" s="1096"/>
      <c r="D345" s="1092"/>
      <c r="E345" s="1092"/>
      <c r="F345" s="1094"/>
      <c r="G345" s="103"/>
      <c r="H345" s="101"/>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93"/>
      <c r="I346" s="1091"/>
      <c r="J346" s="1083"/>
      <c r="K346" s="1083"/>
      <c r="L346" s="932"/>
    </row>
    <row r="347" spans="1:12" s="106" customFormat="1" ht="15.75" hidden="1" customHeight="1" outlineLevel="1">
      <c r="A347" s="932"/>
      <c r="B347" s="1086"/>
      <c r="C347" s="1095"/>
      <c r="D347" s="1091"/>
      <c r="E347" s="1091"/>
      <c r="F347" s="1093"/>
      <c r="G347" s="98"/>
      <c r="H347" s="93"/>
      <c r="I347" s="1091"/>
      <c r="J347" s="1084"/>
      <c r="K347" s="1084"/>
      <c r="L347" s="932"/>
    </row>
    <row r="348" spans="1:12" s="106" customFormat="1" ht="15.75" hidden="1" customHeight="1" outlineLevel="1">
      <c r="A348" s="932"/>
      <c r="B348" s="1087"/>
      <c r="C348" s="1096"/>
      <c r="D348" s="1092"/>
      <c r="E348" s="1092"/>
      <c r="F348" s="1094"/>
      <c r="G348" s="103"/>
      <c r="H348" s="101"/>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93"/>
      <c r="I349" s="1091"/>
      <c r="J349" s="1083"/>
      <c r="K349" s="1083"/>
      <c r="L349" s="932"/>
    </row>
    <row r="350" spans="1:12" s="106" customFormat="1" ht="15.75" hidden="1" customHeight="1" outlineLevel="1">
      <c r="A350" s="932"/>
      <c r="B350" s="1086"/>
      <c r="C350" s="1095"/>
      <c r="D350" s="1091"/>
      <c r="E350" s="1091"/>
      <c r="F350" s="1093"/>
      <c r="G350" s="98"/>
      <c r="H350" s="93"/>
      <c r="I350" s="1091"/>
      <c r="J350" s="1084"/>
      <c r="K350" s="1084"/>
      <c r="L350" s="932"/>
    </row>
    <row r="351" spans="1:12" s="106" customFormat="1" ht="15.75" hidden="1" customHeight="1" outlineLevel="1">
      <c r="A351" s="932"/>
      <c r="B351" s="1087"/>
      <c r="C351" s="1096"/>
      <c r="D351" s="1092"/>
      <c r="E351" s="1092"/>
      <c r="F351" s="1094"/>
      <c r="G351" s="103"/>
      <c r="H351" s="101"/>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93"/>
      <c r="I352" s="1091"/>
      <c r="J352" s="1083"/>
      <c r="K352" s="1083"/>
      <c r="L352" s="932"/>
    </row>
    <row r="353" spans="1:12" s="106" customFormat="1" ht="15.75" hidden="1" customHeight="1" outlineLevel="1">
      <c r="A353" s="932"/>
      <c r="B353" s="1086"/>
      <c r="C353" s="1095"/>
      <c r="D353" s="1091"/>
      <c r="E353" s="1091"/>
      <c r="F353" s="1093"/>
      <c r="G353" s="98"/>
      <c r="H353" s="93"/>
      <c r="I353" s="1091"/>
      <c r="J353" s="1084"/>
      <c r="K353" s="1084"/>
      <c r="L353" s="932"/>
    </row>
    <row r="354" spans="1:12" s="106" customFormat="1" ht="15.75" hidden="1" customHeight="1" outlineLevel="1">
      <c r="A354" s="932"/>
      <c r="B354" s="1087"/>
      <c r="C354" s="1096"/>
      <c r="D354" s="1092"/>
      <c r="E354" s="1092"/>
      <c r="F354" s="1094"/>
      <c r="G354" s="103"/>
      <c r="H354" s="101"/>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93"/>
      <c r="I355" s="1091"/>
      <c r="J355" s="1083"/>
      <c r="K355" s="1083"/>
      <c r="L355" s="932"/>
    </row>
    <row r="356" spans="1:12" s="106" customFormat="1" ht="15.75" hidden="1" customHeight="1" outlineLevel="1">
      <c r="A356" s="932"/>
      <c r="B356" s="1086"/>
      <c r="C356" s="1095"/>
      <c r="D356" s="1091"/>
      <c r="E356" s="1091"/>
      <c r="F356" s="1093"/>
      <c r="G356" s="98"/>
      <c r="H356" s="93"/>
      <c r="I356" s="1091"/>
      <c r="J356" s="1084"/>
      <c r="K356" s="1084"/>
      <c r="L356" s="932"/>
    </row>
    <row r="357" spans="1:12" s="106" customFormat="1" ht="15.75" hidden="1" customHeight="1" outlineLevel="1">
      <c r="A357" s="932"/>
      <c r="B357" s="1087"/>
      <c r="C357" s="1096"/>
      <c r="D357" s="1092"/>
      <c r="E357" s="1092"/>
      <c r="F357" s="1094"/>
      <c r="G357" s="103"/>
      <c r="H357" s="101"/>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93"/>
      <c r="I358" s="1091"/>
      <c r="J358" s="1083"/>
      <c r="K358" s="1083"/>
      <c r="L358" s="932"/>
    </row>
    <row r="359" spans="1:12" s="106" customFormat="1" ht="15.75" hidden="1" customHeight="1" outlineLevel="1">
      <c r="A359" s="932"/>
      <c r="B359" s="1086"/>
      <c r="C359" s="1095"/>
      <c r="D359" s="1091"/>
      <c r="E359" s="1091"/>
      <c r="F359" s="1093"/>
      <c r="G359" s="98"/>
      <c r="H359" s="93"/>
      <c r="I359" s="1091"/>
      <c r="J359" s="1084"/>
      <c r="K359" s="1084"/>
      <c r="L359" s="932"/>
    </row>
    <row r="360" spans="1:12" s="106" customFormat="1" ht="15.75" hidden="1" customHeight="1" outlineLevel="1">
      <c r="A360" s="932"/>
      <c r="B360" s="1087"/>
      <c r="C360" s="1096"/>
      <c r="D360" s="1092"/>
      <c r="E360" s="1092"/>
      <c r="F360" s="1094"/>
      <c r="G360" s="103"/>
      <c r="H360" s="101"/>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93"/>
      <c r="I361" s="1091"/>
      <c r="J361" s="1083"/>
      <c r="K361" s="1083"/>
      <c r="L361" s="932"/>
    </row>
    <row r="362" spans="1:12" s="106" customFormat="1" ht="15.75" hidden="1" customHeight="1" outlineLevel="1">
      <c r="A362" s="932"/>
      <c r="B362" s="1086"/>
      <c r="C362" s="1095"/>
      <c r="D362" s="1091"/>
      <c r="E362" s="1091"/>
      <c r="F362" s="1093"/>
      <c r="G362" s="98"/>
      <c r="H362" s="93"/>
      <c r="I362" s="1091"/>
      <c r="J362" s="1084"/>
      <c r="K362" s="1084"/>
      <c r="L362" s="932"/>
    </row>
    <row r="363" spans="1:12" s="106" customFormat="1" ht="15.75" hidden="1" customHeight="1" outlineLevel="1">
      <c r="A363" s="932"/>
      <c r="B363" s="1087"/>
      <c r="C363" s="1096"/>
      <c r="D363" s="1092"/>
      <c r="E363" s="1092"/>
      <c r="F363" s="1094"/>
      <c r="G363" s="103"/>
      <c r="H363" s="101"/>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93"/>
      <c r="I364" s="1091"/>
      <c r="J364" s="1083"/>
      <c r="K364" s="1083"/>
      <c r="L364" s="932"/>
    </row>
    <row r="365" spans="1:12" s="106" customFormat="1" ht="15.75" hidden="1" customHeight="1" outlineLevel="1">
      <c r="A365" s="932"/>
      <c r="B365" s="1086"/>
      <c r="C365" s="1095"/>
      <c r="D365" s="1091"/>
      <c r="E365" s="1091"/>
      <c r="F365" s="1093"/>
      <c r="G365" s="98"/>
      <c r="H365" s="93"/>
      <c r="I365" s="1091"/>
      <c r="J365" s="1084"/>
      <c r="K365" s="1084"/>
      <c r="L365" s="932"/>
    </row>
    <row r="366" spans="1:12" s="106" customFormat="1" ht="15.75" hidden="1" customHeight="1" outlineLevel="1">
      <c r="A366" s="932"/>
      <c r="B366" s="1087"/>
      <c r="C366" s="1096"/>
      <c r="D366" s="1092"/>
      <c r="E366" s="1092"/>
      <c r="F366" s="1094"/>
      <c r="G366" s="103"/>
      <c r="H366" s="101"/>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93"/>
      <c r="I367" s="1091"/>
      <c r="J367" s="1083"/>
      <c r="K367" s="1083"/>
      <c r="L367" s="932"/>
    </row>
    <row r="368" spans="1:12" s="106" customFormat="1" ht="15.75" hidden="1" customHeight="1" outlineLevel="1">
      <c r="A368" s="932"/>
      <c r="B368" s="1086"/>
      <c r="C368" s="1095"/>
      <c r="D368" s="1091"/>
      <c r="E368" s="1091"/>
      <c r="F368" s="1093"/>
      <c r="G368" s="98"/>
      <c r="H368" s="93"/>
      <c r="I368" s="1091"/>
      <c r="J368" s="1084"/>
      <c r="K368" s="1084"/>
      <c r="L368" s="932"/>
    </row>
    <row r="369" spans="1:12" s="106" customFormat="1" ht="15.75" hidden="1" customHeight="1" outlineLevel="1">
      <c r="A369" s="932"/>
      <c r="B369" s="1087"/>
      <c r="C369" s="1096"/>
      <c r="D369" s="1092"/>
      <c r="E369" s="1092"/>
      <c r="F369" s="1094"/>
      <c r="G369" s="103"/>
      <c r="H369" s="101"/>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93"/>
      <c r="I370" s="1091"/>
      <c r="J370" s="1083"/>
      <c r="K370" s="1083"/>
      <c r="L370" s="932"/>
    </row>
    <row r="371" spans="1:12" s="106" customFormat="1" ht="15.75" hidden="1" customHeight="1" outlineLevel="1">
      <c r="A371" s="932"/>
      <c r="B371" s="1086"/>
      <c r="C371" s="1095"/>
      <c r="D371" s="1091"/>
      <c r="E371" s="1091"/>
      <c r="F371" s="1093"/>
      <c r="G371" s="98"/>
      <c r="H371" s="93"/>
      <c r="I371" s="1091"/>
      <c r="J371" s="1084"/>
      <c r="K371" s="1084"/>
      <c r="L371" s="932"/>
    </row>
    <row r="372" spans="1:12" s="106" customFormat="1" ht="15.75" hidden="1" customHeight="1" outlineLevel="1">
      <c r="A372" s="932"/>
      <c r="B372" s="1087"/>
      <c r="C372" s="1096"/>
      <c r="D372" s="1092"/>
      <c r="E372" s="1092"/>
      <c r="F372" s="1094"/>
      <c r="G372" s="103"/>
      <c r="H372" s="101"/>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93"/>
      <c r="I373" s="1091"/>
      <c r="J373" s="1083"/>
      <c r="K373" s="1083"/>
      <c r="L373" s="932"/>
    </row>
    <row r="374" spans="1:12" s="106" customFormat="1" ht="15.75" hidden="1" customHeight="1" outlineLevel="1">
      <c r="A374" s="932"/>
      <c r="B374" s="1086"/>
      <c r="C374" s="1095"/>
      <c r="D374" s="1091"/>
      <c r="E374" s="1091"/>
      <c r="F374" s="1093"/>
      <c r="G374" s="98"/>
      <c r="H374" s="93"/>
      <c r="I374" s="1091"/>
      <c r="J374" s="1084"/>
      <c r="K374" s="1084"/>
      <c r="L374" s="932"/>
    </row>
    <row r="375" spans="1:12" s="106" customFormat="1" ht="15.75" hidden="1" customHeight="1" outlineLevel="1">
      <c r="A375" s="932"/>
      <c r="B375" s="1087"/>
      <c r="C375" s="1096"/>
      <c r="D375" s="1092"/>
      <c r="E375" s="1092"/>
      <c r="F375" s="1094"/>
      <c r="G375" s="103"/>
      <c r="H375" s="101"/>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93"/>
      <c r="I376" s="1091"/>
      <c r="J376" s="1083"/>
      <c r="K376" s="1083"/>
      <c r="L376" s="932"/>
    </row>
    <row r="377" spans="1:12" s="106" customFormat="1" ht="15.75" hidden="1" customHeight="1" outlineLevel="1">
      <c r="A377" s="932"/>
      <c r="B377" s="1086"/>
      <c r="C377" s="1095"/>
      <c r="D377" s="1091"/>
      <c r="E377" s="1091"/>
      <c r="F377" s="1093"/>
      <c r="G377" s="98"/>
      <c r="H377" s="93"/>
      <c r="I377" s="1091"/>
      <c r="J377" s="1084"/>
      <c r="K377" s="1084"/>
      <c r="L377" s="932"/>
    </row>
    <row r="378" spans="1:12" s="106" customFormat="1" ht="15.75" hidden="1" customHeight="1" outlineLevel="1">
      <c r="A378" s="932"/>
      <c r="B378" s="1087"/>
      <c r="C378" s="1096"/>
      <c r="D378" s="1092"/>
      <c r="E378" s="1092"/>
      <c r="F378" s="1094"/>
      <c r="G378" s="103"/>
      <c r="H378" s="101"/>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93"/>
      <c r="I379" s="1091"/>
      <c r="J379" s="1083"/>
      <c r="K379" s="1083"/>
      <c r="L379" s="932"/>
    </row>
    <row r="380" spans="1:12" s="106" customFormat="1" ht="15.75" hidden="1" customHeight="1" outlineLevel="1">
      <c r="A380" s="932"/>
      <c r="B380" s="1086"/>
      <c r="C380" s="1095"/>
      <c r="D380" s="1091"/>
      <c r="E380" s="1091"/>
      <c r="F380" s="1093"/>
      <c r="G380" s="98"/>
      <c r="H380" s="93"/>
      <c r="I380" s="1091"/>
      <c r="J380" s="1084"/>
      <c r="K380" s="1084"/>
      <c r="L380" s="932"/>
    </row>
    <row r="381" spans="1:12" s="106" customFormat="1" ht="15.75" hidden="1" customHeight="1" outlineLevel="1">
      <c r="A381" s="932"/>
      <c r="B381" s="1087"/>
      <c r="C381" s="1096"/>
      <c r="D381" s="1092"/>
      <c r="E381" s="1092"/>
      <c r="F381" s="1094"/>
      <c r="G381" s="103"/>
      <c r="H381" s="101"/>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93"/>
      <c r="I382" s="1091"/>
      <c r="J382" s="1083"/>
      <c r="K382" s="1083"/>
      <c r="L382" s="932"/>
    </row>
    <row r="383" spans="1:12" s="106" customFormat="1" ht="15.75" hidden="1" customHeight="1" outlineLevel="1">
      <c r="A383" s="932"/>
      <c r="B383" s="1086"/>
      <c r="C383" s="1095"/>
      <c r="D383" s="1091"/>
      <c r="E383" s="1091"/>
      <c r="F383" s="1093"/>
      <c r="G383" s="98"/>
      <c r="H383" s="93"/>
      <c r="I383" s="1091"/>
      <c r="J383" s="1084"/>
      <c r="K383" s="1084"/>
      <c r="L383" s="932"/>
    </row>
    <row r="384" spans="1:12" s="106" customFormat="1" ht="15.75" hidden="1" customHeight="1" outlineLevel="1">
      <c r="A384" s="932"/>
      <c r="B384" s="1087"/>
      <c r="C384" s="1096"/>
      <c r="D384" s="1092"/>
      <c r="E384" s="1092"/>
      <c r="F384" s="1094"/>
      <c r="G384" s="103"/>
      <c r="H384" s="101"/>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93"/>
      <c r="I385" s="1091"/>
      <c r="J385" s="1083"/>
      <c r="K385" s="1083"/>
      <c r="L385" s="932"/>
    </row>
    <row r="386" spans="1:12" s="106" customFormat="1" ht="15.75" hidden="1" customHeight="1" outlineLevel="1">
      <c r="A386" s="932"/>
      <c r="B386" s="1086"/>
      <c r="C386" s="1095"/>
      <c r="D386" s="1091"/>
      <c r="E386" s="1091"/>
      <c r="F386" s="1093"/>
      <c r="G386" s="98"/>
      <c r="H386" s="93"/>
      <c r="I386" s="1091"/>
      <c r="J386" s="1084"/>
      <c r="K386" s="1084"/>
      <c r="L386" s="932"/>
    </row>
    <row r="387" spans="1:12" s="106" customFormat="1" ht="15.75" hidden="1" customHeight="1" outlineLevel="1">
      <c r="A387" s="932"/>
      <c r="B387" s="1087"/>
      <c r="C387" s="1096"/>
      <c r="D387" s="1092"/>
      <c r="E387" s="1092"/>
      <c r="F387" s="1094"/>
      <c r="G387" s="103"/>
      <c r="H387" s="101"/>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93"/>
      <c r="I388" s="1091"/>
      <c r="J388" s="1083"/>
      <c r="K388" s="1083"/>
      <c r="L388" s="932"/>
    </row>
    <row r="389" spans="1:12" s="106" customFormat="1" ht="15.75" hidden="1" customHeight="1" outlineLevel="1">
      <c r="A389" s="932"/>
      <c r="B389" s="1086"/>
      <c r="C389" s="1095"/>
      <c r="D389" s="1091"/>
      <c r="E389" s="1091"/>
      <c r="F389" s="1093"/>
      <c r="G389" s="98"/>
      <c r="H389" s="93"/>
      <c r="I389" s="1091"/>
      <c r="J389" s="1084"/>
      <c r="K389" s="1084"/>
      <c r="L389" s="932"/>
    </row>
    <row r="390" spans="1:12" s="106" customFormat="1" ht="15.75" hidden="1" customHeight="1" outlineLevel="1">
      <c r="A390" s="932"/>
      <c r="B390" s="1087"/>
      <c r="C390" s="1096"/>
      <c r="D390" s="1092"/>
      <c r="E390" s="1092"/>
      <c r="F390" s="1094"/>
      <c r="G390" s="103"/>
      <c r="H390" s="101"/>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93"/>
      <c r="I391" s="1091"/>
      <c r="J391" s="1083"/>
      <c r="K391" s="1083"/>
      <c r="L391" s="932"/>
    </row>
    <row r="392" spans="1:12" s="106" customFormat="1" ht="15.75" hidden="1" customHeight="1" outlineLevel="1">
      <c r="A392" s="932"/>
      <c r="B392" s="1086"/>
      <c r="C392" s="1095"/>
      <c r="D392" s="1091"/>
      <c r="E392" s="1091"/>
      <c r="F392" s="1093"/>
      <c r="G392" s="98"/>
      <c r="H392" s="93"/>
      <c r="I392" s="1091"/>
      <c r="J392" s="1084"/>
      <c r="K392" s="1084"/>
      <c r="L392" s="932"/>
    </row>
    <row r="393" spans="1:12" s="106" customFormat="1" ht="15.75" hidden="1" customHeight="1" outlineLevel="1">
      <c r="A393" s="932"/>
      <c r="B393" s="1087"/>
      <c r="C393" s="1096"/>
      <c r="D393" s="1092"/>
      <c r="E393" s="1092"/>
      <c r="F393" s="1094"/>
      <c r="G393" s="103"/>
      <c r="H393" s="101"/>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93"/>
      <c r="I394" s="1091"/>
      <c r="J394" s="1083"/>
      <c r="K394" s="1083"/>
      <c r="L394" s="932"/>
    </row>
    <row r="395" spans="1:12" s="106" customFormat="1" ht="15.75" hidden="1" customHeight="1" outlineLevel="1">
      <c r="A395" s="932"/>
      <c r="B395" s="1086"/>
      <c r="C395" s="1095"/>
      <c r="D395" s="1091"/>
      <c r="E395" s="1091"/>
      <c r="F395" s="1093"/>
      <c r="G395" s="98"/>
      <c r="H395" s="93"/>
      <c r="I395" s="1091"/>
      <c r="J395" s="1084"/>
      <c r="K395" s="1084"/>
      <c r="L395" s="932"/>
    </row>
    <row r="396" spans="1:12" s="106" customFormat="1" ht="15.75" hidden="1" customHeight="1" outlineLevel="1">
      <c r="A396" s="932"/>
      <c r="B396" s="1087"/>
      <c r="C396" s="1096"/>
      <c r="D396" s="1092"/>
      <c r="E396" s="1092"/>
      <c r="F396" s="1094"/>
      <c r="G396" s="103"/>
      <c r="H396" s="101"/>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93"/>
      <c r="I397" s="1091"/>
      <c r="J397" s="1083"/>
      <c r="K397" s="1083"/>
      <c r="L397" s="932"/>
    </row>
    <row r="398" spans="1:12" s="106" customFormat="1" ht="15.75" hidden="1" customHeight="1" outlineLevel="1">
      <c r="A398" s="932"/>
      <c r="B398" s="1086"/>
      <c r="C398" s="1095"/>
      <c r="D398" s="1091"/>
      <c r="E398" s="1091"/>
      <c r="F398" s="1093"/>
      <c r="G398" s="98"/>
      <c r="H398" s="93"/>
      <c r="I398" s="1091"/>
      <c r="J398" s="1084"/>
      <c r="K398" s="1084"/>
      <c r="L398" s="932"/>
    </row>
    <row r="399" spans="1:12" s="106" customFormat="1" ht="15.75" hidden="1" customHeight="1" outlineLevel="1">
      <c r="A399" s="932"/>
      <c r="B399" s="1087"/>
      <c r="C399" s="1096"/>
      <c r="D399" s="1092"/>
      <c r="E399" s="1092"/>
      <c r="F399" s="1094"/>
      <c r="G399" s="103"/>
      <c r="H399" s="101"/>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93"/>
      <c r="I400" s="1091"/>
      <c r="J400" s="1083"/>
      <c r="K400" s="1083"/>
      <c r="L400" s="932"/>
    </row>
    <row r="401" spans="1:12" s="106" customFormat="1" ht="15.75" hidden="1" customHeight="1" outlineLevel="1">
      <c r="A401" s="932"/>
      <c r="B401" s="1086"/>
      <c r="C401" s="1095"/>
      <c r="D401" s="1091"/>
      <c r="E401" s="1091"/>
      <c r="F401" s="1093"/>
      <c r="G401" s="98"/>
      <c r="H401" s="93"/>
      <c r="I401" s="1091"/>
      <c r="J401" s="1084"/>
      <c r="K401" s="1084"/>
      <c r="L401" s="932"/>
    </row>
    <row r="402" spans="1:12" s="106" customFormat="1" ht="15.75" hidden="1" customHeight="1" outlineLevel="1">
      <c r="A402" s="932"/>
      <c r="B402" s="1087"/>
      <c r="C402" s="1096"/>
      <c r="D402" s="1092"/>
      <c r="E402" s="1092"/>
      <c r="F402" s="1094"/>
      <c r="G402" s="103"/>
      <c r="H402" s="101"/>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93"/>
      <c r="I403" s="1091"/>
      <c r="J403" s="1083"/>
      <c r="K403" s="1083"/>
      <c r="L403" s="932"/>
    </row>
    <row r="404" spans="1:12" s="106" customFormat="1" ht="15.75" hidden="1" customHeight="1" outlineLevel="1">
      <c r="A404" s="932"/>
      <c r="B404" s="1086"/>
      <c r="C404" s="1095"/>
      <c r="D404" s="1091"/>
      <c r="E404" s="1091"/>
      <c r="F404" s="1093"/>
      <c r="G404" s="98"/>
      <c r="H404" s="93"/>
      <c r="I404" s="1091"/>
      <c r="J404" s="1084"/>
      <c r="K404" s="1084"/>
      <c r="L404" s="932"/>
    </row>
    <row r="405" spans="1:12" s="106" customFormat="1" ht="15.75" hidden="1" customHeight="1" outlineLevel="1">
      <c r="A405" s="932"/>
      <c r="B405" s="1087"/>
      <c r="C405" s="1096"/>
      <c r="D405" s="1092"/>
      <c r="E405" s="1092"/>
      <c r="F405" s="1094"/>
      <c r="G405" s="103"/>
      <c r="H405" s="101"/>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93"/>
      <c r="I406" s="1091"/>
      <c r="J406" s="1083"/>
      <c r="K406" s="1083"/>
      <c r="L406" s="932"/>
    </row>
    <row r="407" spans="1:12" s="106" customFormat="1" ht="15.75" hidden="1" customHeight="1" outlineLevel="1">
      <c r="A407" s="932"/>
      <c r="B407" s="1086"/>
      <c r="C407" s="1095"/>
      <c r="D407" s="1091"/>
      <c r="E407" s="1091"/>
      <c r="F407" s="1093"/>
      <c r="G407" s="98"/>
      <c r="H407" s="93"/>
      <c r="I407" s="1091"/>
      <c r="J407" s="1084"/>
      <c r="K407" s="1084"/>
      <c r="L407" s="932"/>
    </row>
    <row r="408" spans="1:12" s="106" customFormat="1" ht="15.75" hidden="1" customHeight="1" outlineLevel="1">
      <c r="A408" s="932"/>
      <c r="B408" s="1087"/>
      <c r="C408" s="1096"/>
      <c r="D408" s="1092"/>
      <c r="E408" s="1092"/>
      <c r="F408" s="1094"/>
      <c r="G408" s="103"/>
      <c r="H408" s="101"/>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93"/>
      <c r="I409" s="1091"/>
      <c r="J409" s="1083"/>
      <c r="K409" s="1083"/>
      <c r="L409" s="932"/>
    </row>
    <row r="410" spans="1:12" s="106" customFormat="1" ht="15.75" hidden="1" customHeight="1" outlineLevel="1">
      <c r="A410" s="932"/>
      <c r="B410" s="1086"/>
      <c r="C410" s="1095"/>
      <c r="D410" s="1091"/>
      <c r="E410" s="1091"/>
      <c r="F410" s="1093"/>
      <c r="G410" s="98"/>
      <c r="H410" s="93"/>
      <c r="I410" s="1091"/>
      <c r="J410" s="1084"/>
      <c r="K410" s="1084"/>
      <c r="L410" s="932"/>
    </row>
    <row r="411" spans="1:12" s="106" customFormat="1" ht="15.75" hidden="1" customHeight="1" outlineLevel="1">
      <c r="A411" s="932"/>
      <c r="B411" s="1087"/>
      <c r="C411" s="1096"/>
      <c r="D411" s="1092"/>
      <c r="E411" s="1092"/>
      <c r="F411" s="1094"/>
      <c r="G411" s="103"/>
      <c r="H411" s="101"/>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93"/>
      <c r="I412" s="1091"/>
      <c r="J412" s="1083"/>
      <c r="K412" s="1083"/>
      <c r="L412" s="932"/>
    </row>
    <row r="413" spans="1:12" s="106" customFormat="1" ht="15.75" hidden="1" customHeight="1" outlineLevel="1">
      <c r="A413" s="932"/>
      <c r="B413" s="1086"/>
      <c r="C413" s="1095"/>
      <c r="D413" s="1091"/>
      <c r="E413" s="1091"/>
      <c r="F413" s="1093"/>
      <c r="G413" s="98"/>
      <c r="H413" s="93"/>
      <c r="I413" s="1091"/>
      <c r="J413" s="1084"/>
      <c r="K413" s="1084"/>
      <c r="L413" s="932"/>
    </row>
    <row r="414" spans="1:12" s="106" customFormat="1" ht="15.75" hidden="1" customHeight="1" outlineLevel="1">
      <c r="A414" s="932"/>
      <c r="B414" s="1087"/>
      <c r="C414" s="1096"/>
      <c r="D414" s="1092"/>
      <c r="E414" s="1092"/>
      <c r="F414" s="1094"/>
      <c r="G414" s="103"/>
      <c r="H414" s="101"/>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93"/>
      <c r="I415" s="1091"/>
      <c r="J415" s="1083"/>
      <c r="K415" s="1083"/>
      <c r="L415" s="932"/>
    </row>
    <row r="416" spans="1:12" s="106" customFormat="1" ht="15.75" hidden="1" customHeight="1" outlineLevel="1">
      <c r="A416" s="932"/>
      <c r="B416" s="1086"/>
      <c r="C416" s="1095"/>
      <c r="D416" s="1091"/>
      <c r="E416" s="1091"/>
      <c r="F416" s="1093"/>
      <c r="G416" s="98"/>
      <c r="H416" s="93"/>
      <c r="I416" s="1091"/>
      <c r="J416" s="1084"/>
      <c r="K416" s="1084"/>
      <c r="L416" s="932"/>
    </row>
    <row r="417" spans="1:12" s="106" customFormat="1" ht="15.75" hidden="1" customHeight="1" outlineLevel="1">
      <c r="A417" s="932"/>
      <c r="B417" s="1087"/>
      <c r="C417" s="1096"/>
      <c r="D417" s="1092"/>
      <c r="E417" s="1092"/>
      <c r="F417" s="1094"/>
      <c r="G417" s="103"/>
      <c r="H417" s="101"/>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93"/>
      <c r="I418" s="1091"/>
      <c r="J418" s="1083"/>
      <c r="K418" s="1083"/>
      <c r="L418" s="932"/>
    </row>
    <row r="419" spans="1:12" s="106" customFormat="1" ht="15.75" hidden="1" customHeight="1" outlineLevel="1">
      <c r="A419" s="932"/>
      <c r="B419" s="1086"/>
      <c r="C419" s="1095"/>
      <c r="D419" s="1091"/>
      <c r="E419" s="1091"/>
      <c r="F419" s="1093"/>
      <c r="G419" s="98"/>
      <c r="H419" s="93"/>
      <c r="I419" s="1091"/>
      <c r="J419" s="1084"/>
      <c r="K419" s="1084"/>
      <c r="L419" s="932"/>
    </row>
    <row r="420" spans="1:12" s="106" customFormat="1" ht="15.75" hidden="1" customHeight="1" outlineLevel="1">
      <c r="A420" s="932"/>
      <c r="B420" s="1087"/>
      <c r="C420" s="1096"/>
      <c r="D420" s="1092"/>
      <c r="E420" s="1092"/>
      <c r="F420" s="1094"/>
      <c r="G420" s="103"/>
      <c r="H420" s="101"/>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93"/>
      <c r="I421" s="1091"/>
      <c r="J421" s="1083"/>
      <c r="K421" s="1083"/>
      <c r="L421" s="932"/>
    </row>
    <row r="422" spans="1:12" s="106" customFormat="1" ht="15.75" hidden="1" customHeight="1" outlineLevel="1">
      <c r="A422" s="932"/>
      <c r="B422" s="1086"/>
      <c r="C422" s="1095"/>
      <c r="D422" s="1091"/>
      <c r="E422" s="1091"/>
      <c r="F422" s="1093"/>
      <c r="G422" s="98"/>
      <c r="H422" s="93"/>
      <c r="I422" s="1091"/>
      <c r="J422" s="1084"/>
      <c r="K422" s="1084"/>
      <c r="L422" s="932"/>
    </row>
    <row r="423" spans="1:12" s="106" customFormat="1" ht="15.75" hidden="1" customHeight="1" outlineLevel="1">
      <c r="A423" s="932"/>
      <c r="B423" s="1087"/>
      <c r="C423" s="1096"/>
      <c r="D423" s="1092"/>
      <c r="E423" s="1092"/>
      <c r="F423" s="1094"/>
      <c r="G423" s="103"/>
      <c r="H423" s="101"/>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93"/>
      <c r="I424" s="1091"/>
      <c r="J424" s="1083"/>
      <c r="K424" s="1083"/>
      <c r="L424" s="932"/>
    </row>
    <row r="425" spans="1:12" s="106" customFormat="1" ht="15.75" hidden="1" customHeight="1" outlineLevel="1">
      <c r="A425" s="932"/>
      <c r="B425" s="1086"/>
      <c r="C425" s="1095"/>
      <c r="D425" s="1091"/>
      <c r="E425" s="1091"/>
      <c r="F425" s="1093"/>
      <c r="G425" s="98"/>
      <c r="H425" s="93"/>
      <c r="I425" s="1091"/>
      <c r="J425" s="1084"/>
      <c r="K425" s="1084"/>
      <c r="L425" s="932"/>
    </row>
    <row r="426" spans="1:12" s="106" customFormat="1" ht="15.75" hidden="1" customHeight="1" outlineLevel="1">
      <c r="A426" s="932"/>
      <c r="B426" s="1087"/>
      <c r="C426" s="1096"/>
      <c r="D426" s="1092"/>
      <c r="E426" s="1092"/>
      <c r="F426" s="1094"/>
      <c r="G426" s="103"/>
      <c r="H426" s="101"/>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93"/>
      <c r="I427" s="1091"/>
      <c r="J427" s="1083"/>
      <c r="K427" s="1083"/>
      <c r="L427" s="932"/>
    </row>
    <row r="428" spans="1:12" s="106" customFormat="1" ht="15.75" hidden="1" customHeight="1" outlineLevel="1">
      <c r="A428" s="932"/>
      <c r="B428" s="1086"/>
      <c r="C428" s="1095"/>
      <c r="D428" s="1091"/>
      <c r="E428" s="1091"/>
      <c r="F428" s="1093"/>
      <c r="G428" s="98"/>
      <c r="H428" s="93"/>
      <c r="I428" s="1091"/>
      <c r="J428" s="1084"/>
      <c r="K428" s="1084"/>
      <c r="L428" s="932"/>
    </row>
    <row r="429" spans="1:12" s="106" customFormat="1" ht="15.75" hidden="1" customHeight="1" outlineLevel="1">
      <c r="A429" s="932"/>
      <c r="B429" s="1087"/>
      <c r="C429" s="1096"/>
      <c r="D429" s="1092"/>
      <c r="E429" s="1092"/>
      <c r="F429" s="1094"/>
      <c r="G429" s="103"/>
      <c r="H429" s="101"/>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93"/>
      <c r="I430" s="1091"/>
      <c r="J430" s="1083"/>
      <c r="K430" s="1083"/>
      <c r="L430" s="932"/>
    </row>
    <row r="431" spans="1:12" s="106" customFormat="1" ht="15.75" hidden="1" customHeight="1" outlineLevel="1">
      <c r="A431" s="932"/>
      <c r="B431" s="1086"/>
      <c r="C431" s="1095"/>
      <c r="D431" s="1091"/>
      <c r="E431" s="1091"/>
      <c r="F431" s="1093"/>
      <c r="G431" s="98"/>
      <c r="H431" s="93"/>
      <c r="I431" s="1091"/>
      <c r="J431" s="1084"/>
      <c r="K431" s="1084"/>
      <c r="L431" s="932"/>
    </row>
    <row r="432" spans="1:12" s="106" customFormat="1" ht="15.75" hidden="1" customHeight="1" outlineLevel="1">
      <c r="A432" s="932"/>
      <c r="B432" s="1087"/>
      <c r="C432" s="1096"/>
      <c r="D432" s="1092"/>
      <c r="E432" s="1092"/>
      <c r="F432" s="1094"/>
      <c r="G432" s="103"/>
      <c r="H432" s="101"/>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93"/>
      <c r="I433" s="1091"/>
      <c r="J433" s="1083"/>
      <c r="K433" s="1083"/>
      <c r="L433" s="932"/>
    </row>
    <row r="434" spans="1:12" s="106" customFormat="1" ht="15.75" hidden="1" customHeight="1" outlineLevel="1">
      <c r="A434" s="932"/>
      <c r="B434" s="1086"/>
      <c r="C434" s="1095"/>
      <c r="D434" s="1091"/>
      <c r="E434" s="1091"/>
      <c r="F434" s="1093"/>
      <c r="G434" s="98"/>
      <c r="H434" s="93"/>
      <c r="I434" s="1091"/>
      <c r="J434" s="1084"/>
      <c r="K434" s="1084"/>
      <c r="L434" s="932"/>
    </row>
    <row r="435" spans="1:12" s="106" customFormat="1" ht="15.75" hidden="1" customHeight="1" outlineLevel="1">
      <c r="A435" s="932"/>
      <c r="B435" s="1087"/>
      <c r="C435" s="1096"/>
      <c r="D435" s="1092"/>
      <c r="E435" s="1092"/>
      <c r="F435" s="1094"/>
      <c r="G435" s="103"/>
      <c r="H435" s="101"/>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93"/>
      <c r="I436" s="1091"/>
      <c r="J436" s="1083"/>
      <c r="K436" s="1083"/>
      <c r="L436" s="932"/>
    </row>
    <row r="437" spans="1:12" s="106" customFormat="1" ht="15.75" hidden="1" customHeight="1" outlineLevel="1">
      <c r="A437" s="932"/>
      <c r="B437" s="1086"/>
      <c r="C437" s="1095"/>
      <c r="D437" s="1091"/>
      <c r="E437" s="1091"/>
      <c r="F437" s="1093"/>
      <c r="G437" s="98"/>
      <c r="H437" s="93"/>
      <c r="I437" s="1091"/>
      <c r="J437" s="1084"/>
      <c r="K437" s="1084"/>
      <c r="L437" s="932"/>
    </row>
    <row r="438" spans="1:12" s="106" customFormat="1" ht="15.75" hidden="1" customHeight="1" outlineLevel="1">
      <c r="A438" s="932"/>
      <c r="B438" s="1087"/>
      <c r="C438" s="1096"/>
      <c r="D438" s="1092"/>
      <c r="E438" s="1092"/>
      <c r="F438" s="1094"/>
      <c r="G438" s="103"/>
      <c r="H438" s="101"/>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93"/>
      <c r="I439" s="1091"/>
      <c r="J439" s="1083"/>
      <c r="K439" s="1083"/>
      <c r="L439" s="932"/>
    </row>
    <row r="440" spans="1:12" s="106" customFormat="1" ht="15.75" hidden="1" customHeight="1" outlineLevel="1">
      <c r="A440" s="932"/>
      <c r="B440" s="1086"/>
      <c r="C440" s="1095"/>
      <c r="D440" s="1091"/>
      <c r="E440" s="1091"/>
      <c r="F440" s="1093"/>
      <c r="G440" s="98"/>
      <c r="H440" s="93"/>
      <c r="I440" s="1091"/>
      <c r="J440" s="1084"/>
      <c r="K440" s="1084"/>
      <c r="L440" s="932"/>
    </row>
    <row r="441" spans="1:12" s="106" customFormat="1" ht="15.75" hidden="1" customHeight="1" outlineLevel="1">
      <c r="A441" s="932"/>
      <c r="B441" s="1087"/>
      <c r="C441" s="1096"/>
      <c r="D441" s="1092"/>
      <c r="E441" s="1092"/>
      <c r="F441" s="1094"/>
      <c r="G441" s="103"/>
      <c r="H441" s="101"/>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93"/>
      <c r="I442" s="1091"/>
      <c r="J442" s="1083"/>
      <c r="K442" s="1083"/>
      <c r="L442" s="932"/>
    </row>
    <row r="443" spans="1:12" s="106" customFormat="1" ht="15.75" hidden="1" customHeight="1" outlineLevel="1">
      <c r="A443" s="932"/>
      <c r="B443" s="1086"/>
      <c r="C443" s="1095"/>
      <c r="D443" s="1091"/>
      <c r="E443" s="1091"/>
      <c r="F443" s="1093"/>
      <c r="G443" s="98"/>
      <c r="H443" s="93"/>
      <c r="I443" s="1091"/>
      <c r="J443" s="1084"/>
      <c r="K443" s="1084"/>
      <c r="L443" s="932"/>
    </row>
    <row r="444" spans="1:12" s="106" customFormat="1" ht="15.75" hidden="1" customHeight="1" outlineLevel="1">
      <c r="A444" s="932"/>
      <c r="B444" s="1087"/>
      <c r="C444" s="1096"/>
      <c r="D444" s="1092"/>
      <c r="E444" s="1092"/>
      <c r="F444" s="1094"/>
      <c r="G444" s="103"/>
      <c r="H444" s="101"/>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93"/>
      <c r="I445" s="1091"/>
      <c r="J445" s="1083"/>
      <c r="K445" s="1083"/>
      <c r="L445" s="932"/>
    </row>
    <row r="446" spans="1:12" s="106" customFormat="1" ht="15.75" hidden="1" customHeight="1" outlineLevel="1">
      <c r="A446" s="932"/>
      <c r="B446" s="1086"/>
      <c r="C446" s="1095"/>
      <c r="D446" s="1091"/>
      <c r="E446" s="1091"/>
      <c r="F446" s="1093"/>
      <c r="G446" s="98"/>
      <c r="H446" s="93"/>
      <c r="I446" s="1091"/>
      <c r="J446" s="1084"/>
      <c r="K446" s="1084"/>
      <c r="L446" s="932"/>
    </row>
    <row r="447" spans="1:12" s="106" customFormat="1" ht="15.75" hidden="1" customHeight="1" outlineLevel="1">
      <c r="A447" s="932"/>
      <c r="B447" s="1087"/>
      <c r="C447" s="1096"/>
      <c r="D447" s="1092"/>
      <c r="E447" s="1092"/>
      <c r="F447" s="1094"/>
      <c r="G447" s="103"/>
      <c r="H447" s="101"/>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93"/>
      <c r="I448" s="1091"/>
      <c r="J448" s="1083"/>
      <c r="K448" s="1083"/>
      <c r="L448" s="932"/>
    </row>
    <row r="449" spans="1:12" s="106" customFormat="1" ht="15.75" hidden="1" customHeight="1" outlineLevel="1">
      <c r="A449" s="932"/>
      <c r="B449" s="1086"/>
      <c r="C449" s="1095"/>
      <c r="D449" s="1091"/>
      <c r="E449" s="1091"/>
      <c r="F449" s="1093"/>
      <c r="G449" s="98"/>
      <c r="H449" s="93"/>
      <c r="I449" s="1091"/>
      <c r="J449" s="1084"/>
      <c r="K449" s="1084"/>
      <c r="L449" s="932"/>
    </row>
    <row r="450" spans="1:12" s="106" customFormat="1" ht="15.75" hidden="1" customHeight="1" outlineLevel="1">
      <c r="A450" s="932"/>
      <c r="B450" s="1087"/>
      <c r="C450" s="1096"/>
      <c r="D450" s="1092"/>
      <c r="E450" s="1092"/>
      <c r="F450" s="1094"/>
      <c r="G450" s="103"/>
      <c r="H450" s="101"/>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93"/>
      <c r="I451" s="1091"/>
      <c r="J451" s="1083"/>
      <c r="K451" s="1083"/>
      <c r="L451" s="932"/>
    </row>
    <row r="452" spans="1:12" s="106" customFormat="1" ht="15.75" hidden="1" customHeight="1" outlineLevel="1">
      <c r="A452" s="932"/>
      <c r="B452" s="1086"/>
      <c r="C452" s="1095"/>
      <c r="D452" s="1091"/>
      <c r="E452" s="1091"/>
      <c r="F452" s="1093"/>
      <c r="G452" s="98"/>
      <c r="H452" s="93"/>
      <c r="I452" s="1091"/>
      <c r="J452" s="1084"/>
      <c r="K452" s="1084"/>
      <c r="L452" s="932"/>
    </row>
    <row r="453" spans="1:12" s="106" customFormat="1" ht="15.75" hidden="1" customHeight="1" outlineLevel="1">
      <c r="A453" s="932"/>
      <c r="B453" s="1087"/>
      <c r="C453" s="1096"/>
      <c r="D453" s="1092"/>
      <c r="E453" s="1092"/>
      <c r="F453" s="1094"/>
      <c r="G453" s="103"/>
      <c r="H453" s="101"/>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93"/>
      <c r="I454" s="1091"/>
      <c r="J454" s="1083"/>
      <c r="K454" s="1083"/>
      <c r="L454" s="932"/>
    </row>
    <row r="455" spans="1:12" s="106" customFormat="1" ht="15.75" hidden="1" customHeight="1" outlineLevel="1">
      <c r="A455" s="932"/>
      <c r="B455" s="1086"/>
      <c r="C455" s="1095"/>
      <c r="D455" s="1091"/>
      <c r="E455" s="1091"/>
      <c r="F455" s="1093"/>
      <c r="G455" s="98"/>
      <c r="H455" s="93"/>
      <c r="I455" s="1091"/>
      <c r="J455" s="1084"/>
      <c r="K455" s="1084"/>
      <c r="L455" s="932"/>
    </row>
    <row r="456" spans="1:12" s="106" customFormat="1" ht="15.75" hidden="1" customHeight="1" outlineLevel="1">
      <c r="A456" s="932"/>
      <c r="B456" s="1087"/>
      <c r="C456" s="1096"/>
      <c r="D456" s="1092"/>
      <c r="E456" s="1092"/>
      <c r="F456" s="1094"/>
      <c r="G456" s="103"/>
      <c r="H456" s="101"/>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93"/>
      <c r="I457" s="1091"/>
      <c r="J457" s="1083"/>
      <c r="K457" s="1083"/>
      <c r="L457" s="932"/>
    </row>
    <row r="458" spans="1:12" s="106" customFormat="1" ht="15.75" hidden="1" customHeight="1" outlineLevel="1">
      <c r="A458" s="932"/>
      <c r="B458" s="1086"/>
      <c r="C458" s="1095"/>
      <c r="D458" s="1091"/>
      <c r="E458" s="1091"/>
      <c r="F458" s="1093"/>
      <c r="G458" s="98"/>
      <c r="H458" s="93"/>
      <c r="I458" s="1091"/>
      <c r="J458" s="1084"/>
      <c r="K458" s="1084"/>
      <c r="L458" s="932"/>
    </row>
    <row r="459" spans="1:12" s="106" customFormat="1" ht="15.75" hidden="1" customHeight="1" outlineLevel="1">
      <c r="A459" s="932"/>
      <c r="B459" s="1087"/>
      <c r="C459" s="1096"/>
      <c r="D459" s="1092"/>
      <c r="E459" s="1092"/>
      <c r="F459" s="1094"/>
      <c r="G459" s="103"/>
      <c r="H459" s="101"/>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93"/>
      <c r="I460" s="1091"/>
      <c r="J460" s="1083"/>
      <c r="K460" s="1083"/>
      <c r="L460" s="932"/>
    </row>
    <row r="461" spans="1:12" s="106" customFormat="1" ht="15.75" hidden="1" customHeight="1" outlineLevel="1">
      <c r="A461" s="932"/>
      <c r="B461" s="1086"/>
      <c r="C461" s="1095"/>
      <c r="D461" s="1091"/>
      <c r="E461" s="1091"/>
      <c r="F461" s="1093"/>
      <c r="G461" s="98"/>
      <c r="H461" s="93"/>
      <c r="I461" s="1091"/>
      <c r="J461" s="1084"/>
      <c r="K461" s="1084"/>
      <c r="L461" s="932"/>
    </row>
    <row r="462" spans="1:12" s="106" customFormat="1" ht="15.75" hidden="1" customHeight="1" outlineLevel="1">
      <c r="A462" s="932"/>
      <c r="B462" s="1087"/>
      <c r="C462" s="1096"/>
      <c r="D462" s="1092"/>
      <c r="E462" s="1092"/>
      <c r="F462" s="1094"/>
      <c r="G462" s="103"/>
      <c r="H462" s="101"/>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93"/>
      <c r="I463" s="1091"/>
      <c r="J463" s="1083"/>
      <c r="K463" s="1083"/>
      <c r="L463" s="932"/>
    </row>
    <row r="464" spans="1:12" s="106" customFormat="1" ht="15.75" hidden="1" customHeight="1" outlineLevel="1">
      <c r="A464" s="932"/>
      <c r="B464" s="1086"/>
      <c r="C464" s="1095"/>
      <c r="D464" s="1091"/>
      <c r="E464" s="1091"/>
      <c r="F464" s="1093"/>
      <c r="G464" s="98"/>
      <c r="H464" s="93"/>
      <c r="I464" s="1091"/>
      <c r="J464" s="1084"/>
      <c r="K464" s="1084"/>
      <c r="L464" s="932"/>
    </row>
    <row r="465" spans="1:12" s="106" customFormat="1" ht="15.75" hidden="1" customHeight="1" outlineLevel="1">
      <c r="A465" s="932"/>
      <c r="B465" s="1087"/>
      <c r="C465" s="1096"/>
      <c r="D465" s="1092"/>
      <c r="E465" s="1092"/>
      <c r="F465" s="1094"/>
      <c r="G465" s="103"/>
      <c r="H465" s="101"/>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93"/>
      <c r="I466" s="1091"/>
      <c r="J466" s="1083"/>
      <c r="K466" s="1083"/>
      <c r="L466" s="932"/>
    </row>
    <row r="467" spans="1:12" s="106" customFormat="1" ht="15.75" hidden="1" customHeight="1" outlineLevel="1">
      <c r="A467" s="932"/>
      <c r="B467" s="1086"/>
      <c r="C467" s="1095"/>
      <c r="D467" s="1091"/>
      <c r="E467" s="1091"/>
      <c r="F467" s="1093"/>
      <c r="G467" s="98"/>
      <c r="H467" s="93"/>
      <c r="I467" s="1091"/>
      <c r="J467" s="1084"/>
      <c r="K467" s="1084"/>
      <c r="L467" s="932"/>
    </row>
    <row r="468" spans="1:12" s="106" customFormat="1" ht="15.75" hidden="1" customHeight="1" outlineLevel="1">
      <c r="A468" s="932"/>
      <c r="B468" s="1087"/>
      <c r="C468" s="1096"/>
      <c r="D468" s="1092"/>
      <c r="E468" s="1092"/>
      <c r="F468" s="1094"/>
      <c r="G468" s="103"/>
      <c r="H468" s="101"/>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93"/>
      <c r="I469" s="1091"/>
      <c r="J469" s="1083"/>
      <c r="K469" s="1083"/>
      <c r="L469" s="932"/>
    </row>
    <row r="470" spans="1:12" s="106" customFormat="1" ht="15.75" hidden="1" customHeight="1" outlineLevel="1">
      <c r="A470" s="932"/>
      <c r="B470" s="1086"/>
      <c r="C470" s="1095"/>
      <c r="D470" s="1091"/>
      <c r="E470" s="1091"/>
      <c r="F470" s="1093"/>
      <c r="G470" s="98"/>
      <c r="H470" s="93"/>
      <c r="I470" s="1091"/>
      <c r="J470" s="1084"/>
      <c r="K470" s="1084"/>
      <c r="L470" s="932"/>
    </row>
    <row r="471" spans="1:12" s="106" customFormat="1" ht="15.75" hidden="1" customHeight="1" outlineLevel="1">
      <c r="A471" s="932"/>
      <c r="B471" s="1087"/>
      <c r="C471" s="1096"/>
      <c r="D471" s="1092"/>
      <c r="E471" s="1092"/>
      <c r="F471" s="1094"/>
      <c r="G471" s="103"/>
      <c r="H471" s="101"/>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93"/>
      <c r="I472" s="1091"/>
      <c r="J472" s="1083"/>
      <c r="K472" s="1083"/>
      <c r="L472" s="932"/>
    </row>
    <row r="473" spans="1:12" s="106" customFormat="1" ht="15.75" hidden="1" customHeight="1" outlineLevel="1">
      <c r="A473" s="932"/>
      <c r="B473" s="1086"/>
      <c r="C473" s="1095"/>
      <c r="D473" s="1091"/>
      <c r="E473" s="1091"/>
      <c r="F473" s="1093"/>
      <c r="G473" s="98"/>
      <c r="H473" s="93"/>
      <c r="I473" s="1091"/>
      <c r="J473" s="1084"/>
      <c r="K473" s="1084"/>
      <c r="L473" s="932"/>
    </row>
    <row r="474" spans="1:12" s="106" customFormat="1" ht="15.75" hidden="1" customHeight="1" outlineLevel="1">
      <c r="A474" s="932"/>
      <c r="B474" s="1087"/>
      <c r="C474" s="1096"/>
      <c r="D474" s="1092"/>
      <c r="E474" s="1092"/>
      <c r="F474" s="1094"/>
      <c r="G474" s="103"/>
      <c r="H474" s="101"/>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93"/>
      <c r="I475" s="1091"/>
      <c r="J475" s="1083"/>
      <c r="K475" s="1083"/>
      <c r="L475" s="932"/>
    </row>
    <row r="476" spans="1:12" s="106" customFormat="1" ht="15.75" hidden="1" customHeight="1" outlineLevel="1">
      <c r="A476" s="932"/>
      <c r="B476" s="1086"/>
      <c r="C476" s="1095"/>
      <c r="D476" s="1091"/>
      <c r="E476" s="1091"/>
      <c r="F476" s="1093"/>
      <c r="G476" s="98"/>
      <c r="H476" s="93"/>
      <c r="I476" s="1091"/>
      <c r="J476" s="1084"/>
      <c r="K476" s="1084"/>
      <c r="L476" s="932"/>
    </row>
    <row r="477" spans="1:12" s="106" customFormat="1" ht="15.75" hidden="1" customHeight="1" outlineLevel="1">
      <c r="A477" s="932"/>
      <c r="B477" s="1087"/>
      <c r="C477" s="1096"/>
      <c r="D477" s="1092"/>
      <c r="E477" s="1092"/>
      <c r="F477" s="1094"/>
      <c r="G477" s="103"/>
      <c r="H477" s="101"/>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93"/>
      <c r="I478" s="1091"/>
      <c r="J478" s="1083"/>
      <c r="K478" s="1083"/>
      <c r="L478" s="932"/>
    </row>
    <row r="479" spans="1:12" s="106" customFormat="1" ht="15.75" hidden="1" customHeight="1" outlineLevel="1">
      <c r="A479" s="932"/>
      <c r="B479" s="1086"/>
      <c r="C479" s="1095"/>
      <c r="D479" s="1091"/>
      <c r="E479" s="1091"/>
      <c r="F479" s="1093"/>
      <c r="G479" s="98"/>
      <c r="H479" s="93"/>
      <c r="I479" s="1091"/>
      <c r="J479" s="1084"/>
      <c r="K479" s="1084"/>
      <c r="L479" s="932"/>
    </row>
    <row r="480" spans="1:12" s="106" customFormat="1" ht="15.75" hidden="1" customHeight="1" outlineLevel="1">
      <c r="A480" s="932"/>
      <c r="B480" s="1087"/>
      <c r="C480" s="1096"/>
      <c r="D480" s="1092"/>
      <c r="E480" s="1092"/>
      <c r="F480" s="1094"/>
      <c r="G480" s="103"/>
      <c r="H480" s="101"/>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93"/>
      <c r="I481" s="1091"/>
      <c r="J481" s="1083"/>
      <c r="K481" s="1083"/>
      <c r="L481" s="932"/>
    </row>
    <row r="482" spans="1:12" s="106" customFormat="1" ht="15.75" hidden="1" customHeight="1" outlineLevel="1">
      <c r="A482" s="932"/>
      <c r="B482" s="1086"/>
      <c r="C482" s="1095"/>
      <c r="D482" s="1091"/>
      <c r="E482" s="1091"/>
      <c r="F482" s="1093"/>
      <c r="G482" s="98"/>
      <c r="H482" s="93"/>
      <c r="I482" s="1091"/>
      <c r="J482" s="1084"/>
      <c r="K482" s="1084"/>
      <c r="L482" s="932"/>
    </row>
    <row r="483" spans="1:12" s="106" customFormat="1" ht="15.75" hidden="1" customHeight="1" outlineLevel="1">
      <c r="A483" s="932"/>
      <c r="B483" s="1087"/>
      <c r="C483" s="1096"/>
      <c r="D483" s="1092"/>
      <c r="E483" s="1092"/>
      <c r="F483" s="1094"/>
      <c r="G483" s="103"/>
      <c r="H483" s="101"/>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93"/>
      <c r="I484" s="1091"/>
      <c r="J484" s="1083"/>
      <c r="K484" s="1083"/>
      <c r="L484" s="932"/>
    </row>
    <row r="485" spans="1:12" s="106" customFormat="1" ht="15.75" hidden="1" customHeight="1" outlineLevel="1">
      <c r="A485" s="932"/>
      <c r="B485" s="1086"/>
      <c r="C485" s="1095"/>
      <c r="D485" s="1091"/>
      <c r="E485" s="1091"/>
      <c r="F485" s="1093"/>
      <c r="G485" s="98"/>
      <c r="H485" s="93"/>
      <c r="I485" s="1091"/>
      <c r="J485" s="1084"/>
      <c r="K485" s="1084"/>
      <c r="L485" s="932"/>
    </row>
    <row r="486" spans="1:12" s="106" customFormat="1" ht="15.75" hidden="1" customHeight="1" outlineLevel="1">
      <c r="A486" s="932"/>
      <c r="B486" s="1087"/>
      <c r="C486" s="1096"/>
      <c r="D486" s="1092"/>
      <c r="E486" s="1092"/>
      <c r="F486" s="1094"/>
      <c r="G486" s="103"/>
      <c r="H486" s="101"/>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93"/>
      <c r="I487" s="1091"/>
      <c r="J487" s="1083"/>
      <c r="K487" s="1083"/>
      <c r="L487" s="932"/>
    </row>
    <row r="488" spans="1:12" s="106" customFormat="1" ht="15.75" hidden="1" customHeight="1" outlineLevel="1">
      <c r="A488" s="932"/>
      <c r="B488" s="1086"/>
      <c r="C488" s="1095"/>
      <c r="D488" s="1091"/>
      <c r="E488" s="1091"/>
      <c r="F488" s="1093"/>
      <c r="G488" s="98"/>
      <c r="H488" s="93"/>
      <c r="I488" s="1091"/>
      <c r="J488" s="1084"/>
      <c r="K488" s="1084"/>
      <c r="L488" s="932"/>
    </row>
    <row r="489" spans="1:12" s="106" customFormat="1" ht="15.75" hidden="1" customHeight="1" outlineLevel="1">
      <c r="A489" s="932"/>
      <c r="B489" s="1087"/>
      <c r="C489" s="1096"/>
      <c r="D489" s="1092"/>
      <c r="E489" s="1092"/>
      <c r="F489" s="1094"/>
      <c r="G489" s="103"/>
      <c r="H489" s="101"/>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93"/>
      <c r="I490" s="1091"/>
      <c r="J490" s="1083"/>
      <c r="K490" s="1083"/>
      <c r="L490" s="932"/>
    </row>
    <row r="491" spans="1:12" s="106" customFormat="1" ht="15.75" hidden="1" customHeight="1" outlineLevel="1">
      <c r="A491" s="932"/>
      <c r="B491" s="1086"/>
      <c r="C491" s="1095"/>
      <c r="D491" s="1091"/>
      <c r="E491" s="1091"/>
      <c r="F491" s="1093"/>
      <c r="G491" s="98"/>
      <c r="H491" s="93"/>
      <c r="I491" s="1091"/>
      <c r="J491" s="1084"/>
      <c r="K491" s="1084"/>
      <c r="L491" s="932"/>
    </row>
    <row r="492" spans="1:12" s="106" customFormat="1" ht="15.75" hidden="1" customHeight="1" outlineLevel="1">
      <c r="A492" s="932"/>
      <c r="B492" s="1087"/>
      <c r="C492" s="1096"/>
      <c r="D492" s="1092"/>
      <c r="E492" s="1092"/>
      <c r="F492" s="1094"/>
      <c r="G492" s="103"/>
      <c r="H492" s="101"/>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93"/>
      <c r="I493" s="1091"/>
      <c r="J493" s="1083"/>
      <c r="K493" s="1083"/>
      <c r="L493" s="932"/>
    </row>
    <row r="494" spans="1:12" s="106" customFormat="1" ht="15.75" hidden="1" customHeight="1" outlineLevel="1">
      <c r="A494" s="932"/>
      <c r="B494" s="1086"/>
      <c r="C494" s="1095"/>
      <c r="D494" s="1091"/>
      <c r="E494" s="1091"/>
      <c r="F494" s="1093"/>
      <c r="G494" s="98"/>
      <c r="H494" s="93"/>
      <c r="I494" s="1091"/>
      <c r="J494" s="1084"/>
      <c r="K494" s="1084"/>
      <c r="L494" s="932"/>
    </row>
    <row r="495" spans="1:12" s="106" customFormat="1" ht="15.75" hidden="1" customHeight="1" outlineLevel="1">
      <c r="A495" s="932"/>
      <c r="B495" s="1087"/>
      <c r="C495" s="1096"/>
      <c r="D495" s="1092"/>
      <c r="E495" s="1092"/>
      <c r="F495" s="1094"/>
      <c r="G495" s="103"/>
      <c r="H495" s="101"/>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93"/>
      <c r="I496" s="1091"/>
      <c r="J496" s="1083"/>
      <c r="K496" s="1083"/>
      <c r="L496" s="932"/>
    </row>
    <row r="497" spans="1:12" s="106" customFormat="1" ht="15.75" hidden="1" customHeight="1" outlineLevel="1">
      <c r="A497" s="932"/>
      <c r="B497" s="1086"/>
      <c r="C497" s="1095"/>
      <c r="D497" s="1091"/>
      <c r="E497" s="1091"/>
      <c r="F497" s="1093"/>
      <c r="G497" s="98"/>
      <c r="H497" s="93"/>
      <c r="I497" s="1091"/>
      <c r="J497" s="1084"/>
      <c r="K497" s="1084"/>
      <c r="L497" s="932"/>
    </row>
    <row r="498" spans="1:12" s="106" customFormat="1" ht="15.75" hidden="1" customHeight="1" outlineLevel="1">
      <c r="A498" s="932"/>
      <c r="B498" s="1087"/>
      <c r="C498" s="1096"/>
      <c r="D498" s="1092"/>
      <c r="E498" s="1092"/>
      <c r="F498" s="1094"/>
      <c r="G498" s="103"/>
      <c r="H498" s="101"/>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93"/>
      <c r="I499" s="1091"/>
      <c r="J499" s="1083"/>
      <c r="K499" s="1083"/>
      <c r="L499" s="932"/>
    </row>
    <row r="500" spans="1:12" s="106" customFormat="1" ht="15.75" hidden="1" customHeight="1" outlineLevel="1">
      <c r="A500" s="932"/>
      <c r="B500" s="1086"/>
      <c r="C500" s="1095"/>
      <c r="D500" s="1091"/>
      <c r="E500" s="1091"/>
      <c r="F500" s="1093"/>
      <c r="G500" s="98"/>
      <c r="H500" s="93"/>
      <c r="I500" s="1091"/>
      <c r="J500" s="1084"/>
      <c r="K500" s="1084"/>
      <c r="L500" s="932"/>
    </row>
    <row r="501" spans="1:12" s="106" customFormat="1" ht="15.75" hidden="1" customHeight="1" outlineLevel="1">
      <c r="A501" s="932"/>
      <c r="B501" s="1087"/>
      <c r="C501" s="1096"/>
      <c r="D501" s="1092"/>
      <c r="E501" s="1092"/>
      <c r="F501" s="1094"/>
      <c r="G501" s="103"/>
      <c r="H501" s="101"/>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93"/>
      <c r="I502" s="1091"/>
      <c r="J502" s="1083"/>
      <c r="K502" s="1083"/>
      <c r="L502" s="932"/>
    </row>
    <row r="503" spans="1:12" s="106" customFormat="1" ht="15.75" hidden="1" customHeight="1" outlineLevel="1">
      <c r="A503" s="932"/>
      <c r="B503" s="1086"/>
      <c r="C503" s="1095"/>
      <c r="D503" s="1091"/>
      <c r="E503" s="1091"/>
      <c r="F503" s="1093"/>
      <c r="G503" s="98"/>
      <c r="H503" s="93"/>
      <c r="I503" s="1091"/>
      <c r="J503" s="1084"/>
      <c r="K503" s="1084"/>
      <c r="L503" s="932"/>
    </row>
    <row r="504" spans="1:12" s="106" customFormat="1" ht="15.75" hidden="1" customHeight="1" outlineLevel="1">
      <c r="A504" s="932"/>
      <c r="B504" s="1087"/>
      <c r="C504" s="1096"/>
      <c r="D504" s="1092"/>
      <c r="E504" s="1092"/>
      <c r="F504" s="1094"/>
      <c r="G504" s="103"/>
      <c r="H504" s="101"/>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93"/>
      <c r="I505" s="1091"/>
      <c r="J505" s="1083"/>
      <c r="K505" s="1083"/>
      <c r="L505" s="932"/>
    </row>
    <row r="506" spans="1:12" s="106" customFormat="1" ht="15.75" hidden="1" customHeight="1" outlineLevel="1">
      <c r="A506" s="932"/>
      <c r="B506" s="1086"/>
      <c r="C506" s="1095"/>
      <c r="D506" s="1091"/>
      <c r="E506" s="1091"/>
      <c r="F506" s="1093"/>
      <c r="G506" s="98"/>
      <c r="H506" s="93"/>
      <c r="I506" s="1091"/>
      <c r="J506" s="1084"/>
      <c r="K506" s="1084"/>
      <c r="L506" s="932"/>
    </row>
    <row r="507" spans="1:12" s="106" customFormat="1" ht="15.75" hidden="1" customHeight="1" outlineLevel="1">
      <c r="A507" s="932"/>
      <c r="B507" s="1087"/>
      <c r="C507" s="1096"/>
      <c r="D507" s="1092"/>
      <c r="E507" s="1092"/>
      <c r="F507" s="1094"/>
      <c r="G507" s="103"/>
      <c r="H507" s="101"/>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93"/>
      <c r="I508" s="1091"/>
      <c r="J508" s="1083"/>
      <c r="K508" s="1083"/>
      <c r="L508" s="932"/>
    </row>
    <row r="509" spans="1:12" s="106" customFormat="1" ht="15.75" hidden="1" customHeight="1" outlineLevel="1">
      <c r="A509" s="932"/>
      <c r="B509" s="1086"/>
      <c r="C509" s="1095"/>
      <c r="D509" s="1091"/>
      <c r="E509" s="1091"/>
      <c r="F509" s="1093"/>
      <c r="G509" s="98"/>
      <c r="H509" s="93"/>
      <c r="I509" s="1091"/>
      <c r="J509" s="1084"/>
      <c r="K509" s="1084"/>
      <c r="L509" s="932"/>
    </row>
    <row r="510" spans="1:12" s="106" customFormat="1" ht="15.75" hidden="1" customHeight="1" outlineLevel="1">
      <c r="A510" s="932"/>
      <c r="B510" s="1087"/>
      <c r="C510" s="1096"/>
      <c r="D510" s="1092"/>
      <c r="E510" s="1092"/>
      <c r="F510" s="1094"/>
      <c r="G510" s="103"/>
      <c r="H510" s="101"/>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93"/>
      <c r="I511" s="1091"/>
      <c r="J511" s="1083"/>
      <c r="K511" s="1083"/>
      <c r="L511" s="932"/>
    </row>
    <row r="512" spans="1:12" s="106" customFormat="1" ht="15.75" hidden="1" customHeight="1" outlineLevel="1">
      <c r="A512" s="932"/>
      <c r="B512" s="1086"/>
      <c r="C512" s="1095"/>
      <c r="D512" s="1091"/>
      <c r="E512" s="1091"/>
      <c r="F512" s="1093"/>
      <c r="G512" s="98"/>
      <c r="H512" s="93"/>
      <c r="I512" s="1091"/>
      <c r="J512" s="1084"/>
      <c r="K512" s="1084"/>
      <c r="L512" s="932"/>
    </row>
    <row r="513" spans="1:12" s="106" customFormat="1" ht="15.75" hidden="1" customHeight="1" outlineLevel="1">
      <c r="A513" s="932"/>
      <c r="B513" s="1087"/>
      <c r="C513" s="1096"/>
      <c r="D513" s="1092"/>
      <c r="E513" s="1092"/>
      <c r="F513" s="1094"/>
      <c r="G513" s="103"/>
      <c r="H513" s="101"/>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93"/>
      <c r="I514" s="1091"/>
      <c r="J514" s="1083"/>
      <c r="K514" s="1083"/>
      <c r="L514" s="932"/>
    </row>
    <row r="515" spans="1:12" s="106" customFormat="1" ht="15.75" hidden="1" customHeight="1" outlineLevel="1">
      <c r="A515" s="932"/>
      <c r="B515" s="1086"/>
      <c r="C515" s="1095"/>
      <c r="D515" s="1091"/>
      <c r="E515" s="1091"/>
      <c r="F515" s="1093"/>
      <c r="G515" s="98"/>
      <c r="H515" s="93"/>
      <c r="I515" s="1091"/>
      <c r="J515" s="1084"/>
      <c r="K515" s="1084"/>
      <c r="L515" s="932"/>
    </row>
    <row r="516" spans="1:12" s="106" customFormat="1" ht="15.75" hidden="1" customHeight="1" outlineLevel="1">
      <c r="A516" s="932"/>
      <c r="B516" s="1087"/>
      <c r="C516" s="1096"/>
      <c r="D516" s="1092"/>
      <c r="E516" s="1092"/>
      <c r="F516" s="1094"/>
      <c r="G516" s="103"/>
      <c r="H516" s="101"/>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93"/>
      <c r="I517" s="1091"/>
      <c r="J517" s="1083"/>
      <c r="K517" s="1083"/>
      <c r="L517" s="932"/>
    </row>
    <row r="518" spans="1:12" s="106" customFormat="1" ht="15.75" hidden="1" customHeight="1" outlineLevel="1">
      <c r="A518" s="932"/>
      <c r="B518" s="1086"/>
      <c r="C518" s="1095"/>
      <c r="D518" s="1091"/>
      <c r="E518" s="1091"/>
      <c r="F518" s="1093"/>
      <c r="G518" s="98"/>
      <c r="H518" s="93"/>
      <c r="I518" s="1091"/>
      <c r="J518" s="1084"/>
      <c r="K518" s="1084"/>
      <c r="L518" s="932"/>
    </row>
    <row r="519" spans="1:12" s="106" customFormat="1" ht="15.75" hidden="1" customHeight="1" outlineLevel="1">
      <c r="A519" s="932"/>
      <c r="B519" s="1087"/>
      <c r="C519" s="1096"/>
      <c r="D519" s="1092"/>
      <c r="E519" s="1092"/>
      <c r="F519" s="1094"/>
      <c r="G519" s="103"/>
      <c r="H519" s="101"/>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93"/>
      <c r="I520" s="1091"/>
      <c r="J520" s="1083"/>
      <c r="K520" s="1083"/>
      <c r="L520" s="932"/>
    </row>
    <row r="521" spans="1:12" s="106" customFormat="1" ht="15.75" hidden="1" customHeight="1" outlineLevel="1">
      <c r="A521" s="932"/>
      <c r="B521" s="1086"/>
      <c r="C521" s="1095"/>
      <c r="D521" s="1091"/>
      <c r="E521" s="1091"/>
      <c r="F521" s="1093"/>
      <c r="G521" s="98"/>
      <c r="H521" s="93"/>
      <c r="I521" s="1091"/>
      <c r="J521" s="1084"/>
      <c r="K521" s="1084"/>
      <c r="L521" s="932"/>
    </row>
    <row r="522" spans="1:12" s="106" customFormat="1" ht="15.75" hidden="1" customHeight="1" outlineLevel="1">
      <c r="A522" s="932"/>
      <c r="B522" s="1087"/>
      <c r="C522" s="1096"/>
      <c r="D522" s="1092"/>
      <c r="E522" s="1092"/>
      <c r="F522" s="1094"/>
      <c r="G522" s="103"/>
      <c r="H522" s="101"/>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93"/>
      <c r="I523" s="1091"/>
      <c r="J523" s="1083"/>
      <c r="K523" s="1083"/>
      <c r="L523" s="932"/>
    </row>
    <row r="524" spans="1:12" s="106" customFormat="1" ht="15.75" hidden="1" customHeight="1" outlineLevel="1">
      <c r="A524" s="932"/>
      <c r="B524" s="1086"/>
      <c r="C524" s="1095"/>
      <c r="D524" s="1091"/>
      <c r="E524" s="1091"/>
      <c r="F524" s="1093"/>
      <c r="G524" s="98"/>
      <c r="H524" s="93"/>
      <c r="I524" s="1091"/>
      <c r="J524" s="1084"/>
      <c r="K524" s="1084"/>
      <c r="L524" s="932"/>
    </row>
    <row r="525" spans="1:12" s="106" customFormat="1" ht="15.75" hidden="1" customHeight="1" outlineLevel="1">
      <c r="A525" s="932"/>
      <c r="B525" s="1087"/>
      <c r="C525" s="1096"/>
      <c r="D525" s="1092"/>
      <c r="E525" s="1092"/>
      <c r="F525" s="1094"/>
      <c r="G525" s="103"/>
      <c r="H525" s="101"/>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93"/>
      <c r="I526" s="1091"/>
      <c r="J526" s="1083"/>
      <c r="K526" s="1083"/>
      <c r="L526" s="932"/>
    </row>
    <row r="527" spans="1:12" s="106" customFormat="1" ht="15.75" hidden="1" customHeight="1" outlineLevel="1">
      <c r="A527" s="932"/>
      <c r="B527" s="1086"/>
      <c r="C527" s="1095"/>
      <c r="D527" s="1091"/>
      <c r="E527" s="1091"/>
      <c r="F527" s="1093"/>
      <c r="G527" s="98"/>
      <c r="H527" s="93"/>
      <c r="I527" s="1091"/>
      <c r="J527" s="1084"/>
      <c r="K527" s="1084"/>
      <c r="L527" s="932"/>
    </row>
    <row r="528" spans="1:12" s="106" customFormat="1" ht="15.75" hidden="1" customHeight="1" outlineLevel="1">
      <c r="A528" s="932"/>
      <c r="B528" s="1087"/>
      <c r="C528" s="1096"/>
      <c r="D528" s="1092"/>
      <c r="E528" s="1092"/>
      <c r="F528" s="1094"/>
      <c r="G528" s="103"/>
      <c r="H528" s="101"/>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93"/>
      <c r="I529" s="1091"/>
      <c r="J529" s="1083"/>
      <c r="K529" s="1083"/>
      <c r="L529" s="932"/>
    </row>
    <row r="530" spans="1:12" s="106" customFormat="1" ht="15.75" hidden="1" customHeight="1" outlineLevel="1">
      <c r="A530" s="932"/>
      <c r="B530" s="1086"/>
      <c r="C530" s="1095"/>
      <c r="D530" s="1091"/>
      <c r="E530" s="1091"/>
      <c r="F530" s="1093"/>
      <c r="G530" s="98"/>
      <c r="H530" s="93"/>
      <c r="I530" s="1091"/>
      <c r="J530" s="1084"/>
      <c r="K530" s="1084"/>
      <c r="L530" s="932"/>
    </row>
    <row r="531" spans="1:12" s="106" customFormat="1" ht="15.75" hidden="1" customHeight="1" outlineLevel="1">
      <c r="A531" s="932"/>
      <c r="B531" s="1087"/>
      <c r="C531" s="1096"/>
      <c r="D531" s="1092"/>
      <c r="E531" s="1092"/>
      <c r="F531" s="1094"/>
      <c r="G531" s="103"/>
      <c r="H531" s="101"/>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93"/>
      <c r="I532" s="1091"/>
      <c r="J532" s="1083"/>
      <c r="K532" s="1083"/>
      <c r="L532" s="932"/>
    </row>
    <row r="533" spans="1:12" s="106" customFormat="1" ht="15.75" hidden="1" customHeight="1" outlineLevel="1">
      <c r="A533" s="932"/>
      <c r="B533" s="1086"/>
      <c r="C533" s="1095"/>
      <c r="D533" s="1091"/>
      <c r="E533" s="1091"/>
      <c r="F533" s="1093"/>
      <c r="G533" s="98"/>
      <c r="H533" s="93"/>
      <c r="I533" s="1091"/>
      <c r="J533" s="1084"/>
      <c r="K533" s="1084"/>
      <c r="L533" s="932"/>
    </row>
    <row r="534" spans="1:12" s="106" customFormat="1" ht="15.75" hidden="1" customHeight="1" outlineLevel="1">
      <c r="A534" s="932"/>
      <c r="B534" s="1087"/>
      <c r="C534" s="1096"/>
      <c r="D534" s="1092"/>
      <c r="E534" s="1092"/>
      <c r="F534" s="1094"/>
      <c r="G534" s="103"/>
      <c r="H534" s="101"/>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93"/>
      <c r="I535" s="1091"/>
      <c r="J535" s="1083"/>
      <c r="K535" s="1083"/>
      <c r="L535" s="932"/>
    </row>
    <row r="536" spans="1:12" s="106" customFormat="1" ht="15.75" hidden="1" customHeight="1" outlineLevel="1">
      <c r="A536" s="932"/>
      <c r="B536" s="1086"/>
      <c r="C536" s="1095"/>
      <c r="D536" s="1091"/>
      <c r="E536" s="1091"/>
      <c r="F536" s="1093"/>
      <c r="G536" s="98"/>
      <c r="H536" s="93"/>
      <c r="I536" s="1091"/>
      <c r="J536" s="1084"/>
      <c r="K536" s="1084"/>
      <c r="L536" s="932"/>
    </row>
    <row r="537" spans="1:12" s="106" customFormat="1" ht="15.75" hidden="1" customHeight="1" outlineLevel="1">
      <c r="A537" s="932"/>
      <c r="B537" s="1087"/>
      <c r="C537" s="1096"/>
      <c r="D537" s="1092"/>
      <c r="E537" s="1092"/>
      <c r="F537" s="1094"/>
      <c r="G537" s="103"/>
      <c r="H537" s="101"/>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93"/>
      <c r="I538" s="1091"/>
      <c r="J538" s="1083"/>
      <c r="K538" s="1083"/>
      <c r="L538" s="932"/>
    </row>
    <row r="539" spans="1:12" s="106" customFormat="1" ht="15.75" hidden="1" customHeight="1" outlineLevel="1">
      <c r="A539" s="932"/>
      <c r="B539" s="1086"/>
      <c r="C539" s="1095"/>
      <c r="D539" s="1091"/>
      <c r="E539" s="1091"/>
      <c r="F539" s="1093"/>
      <c r="G539" s="98"/>
      <c r="H539" s="93"/>
      <c r="I539" s="1091"/>
      <c r="J539" s="1084"/>
      <c r="K539" s="1084"/>
      <c r="L539" s="932"/>
    </row>
    <row r="540" spans="1:12" s="106" customFormat="1" ht="15.75" hidden="1" customHeight="1" outlineLevel="1">
      <c r="A540" s="932"/>
      <c r="B540" s="1087"/>
      <c r="C540" s="1096"/>
      <c r="D540" s="1092"/>
      <c r="E540" s="1092"/>
      <c r="F540" s="1094"/>
      <c r="G540" s="103"/>
      <c r="H540" s="101"/>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93"/>
      <c r="I541" s="1091"/>
      <c r="J541" s="1083"/>
      <c r="K541" s="1083"/>
      <c r="L541" s="932"/>
    </row>
    <row r="542" spans="1:12" s="106" customFormat="1" ht="15.75" hidden="1" customHeight="1" outlineLevel="1">
      <c r="A542" s="932"/>
      <c r="B542" s="1086"/>
      <c r="C542" s="1095"/>
      <c r="D542" s="1091"/>
      <c r="E542" s="1091"/>
      <c r="F542" s="1093"/>
      <c r="G542" s="98"/>
      <c r="H542" s="93"/>
      <c r="I542" s="1091"/>
      <c r="J542" s="1084"/>
      <c r="K542" s="1084"/>
      <c r="L542" s="932"/>
    </row>
    <row r="543" spans="1:12" s="106" customFormat="1" ht="15.75" hidden="1" customHeight="1" outlineLevel="1">
      <c r="A543" s="932"/>
      <c r="B543" s="1087"/>
      <c r="C543" s="1096"/>
      <c r="D543" s="1092"/>
      <c r="E543" s="1092"/>
      <c r="F543" s="1094"/>
      <c r="G543" s="103"/>
      <c r="H543" s="101"/>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93"/>
      <c r="I544" s="1091"/>
      <c r="J544" s="1083"/>
      <c r="K544" s="1083"/>
      <c r="L544" s="932"/>
    </row>
    <row r="545" spans="1:12" s="106" customFormat="1" ht="15.75" hidden="1" customHeight="1" outlineLevel="1">
      <c r="A545" s="932"/>
      <c r="B545" s="1086"/>
      <c r="C545" s="1095"/>
      <c r="D545" s="1091"/>
      <c r="E545" s="1091"/>
      <c r="F545" s="1093"/>
      <c r="G545" s="98"/>
      <c r="H545" s="93"/>
      <c r="I545" s="1091"/>
      <c r="J545" s="1084"/>
      <c r="K545" s="1084"/>
      <c r="L545" s="932"/>
    </row>
    <row r="546" spans="1:12" s="106" customFormat="1" ht="15.75" hidden="1" customHeight="1" outlineLevel="1">
      <c r="A546" s="932"/>
      <c r="B546" s="1087"/>
      <c r="C546" s="1096"/>
      <c r="D546" s="1092"/>
      <c r="E546" s="1092"/>
      <c r="F546" s="1094"/>
      <c r="G546" s="103"/>
      <c r="H546" s="101"/>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93"/>
      <c r="I547" s="1091"/>
      <c r="J547" s="1083"/>
      <c r="K547" s="1083"/>
      <c r="L547" s="932"/>
    </row>
    <row r="548" spans="1:12" s="106" customFormat="1" ht="15.75" hidden="1" customHeight="1" outlineLevel="1">
      <c r="A548" s="932"/>
      <c r="B548" s="1086"/>
      <c r="C548" s="1095"/>
      <c r="D548" s="1091"/>
      <c r="E548" s="1091"/>
      <c r="F548" s="1093"/>
      <c r="G548" s="98"/>
      <c r="H548" s="93"/>
      <c r="I548" s="1091"/>
      <c r="J548" s="1084"/>
      <c r="K548" s="1084"/>
      <c r="L548" s="932"/>
    </row>
    <row r="549" spans="1:12" s="106" customFormat="1" ht="15.75" hidden="1" customHeight="1" outlineLevel="1">
      <c r="A549" s="932"/>
      <c r="B549" s="1087"/>
      <c r="C549" s="1096"/>
      <c r="D549" s="1092"/>
      <c r="E549" s="1092"/>
      <c r="F549" s="1094"/>
      <c r="G549" s="103"/>
      <c r="H549" s="101"/>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93"/>
      <c r="I550" s="1091"/>
      <c r="J550" s="1083"/>
      <c r="K550" s="1083"/>
      <c r="L550" s="932"/>
    </row>
    <row r="551" spans="1:12" s="106" customFormat="1" ht="15.75" hidden="1" customHeight="1" outlineLevel="1">
      <c r="A551" s="932"/>
      <c r="B551" s="1086"/>
      <c r="C551" s="1095"/>
      <c r="D551" s="1091"/>
      <c r="E551" s="1091"/>
      <c r="F551" s="1093"/>
      <c r="G551" s="98"/>
      <c r="H551" s="93"/>
      <c r="I551" s="1091"/>
      <c r="J551" s="1084"/>
      <c r="K551" s="1084"/>
      <c r="L551" s="932"/>
    </row>
    <row r="552" spans="1:12" s="106" customFormat="1" ht="15.75" hidden="1" customHeight="1" outlineLevel="1">
      <c r="A552" s="932"/>
      <c r="B552" s="1087"/>
      <c r="C552" s="1096"/>
      <c r="D552" s="1092"/>
      <c r="E552" s="1092"/>
      <c r="F552" s="1094"/>
      <c r="G552" s="103"/>
      <c r="H552" s="101"/>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93"/>
      <c r="I553" s="1091"/>
      <c r="J553" s="1083"/>
      <c r="K553" s="1083"/>
      <c r="L553" s="932"/>
    </row>
    <row r="554" spans="1:12" s="106" customFormat="1" ht="15.75" hidden="1" customHeight="1" outlineLevel="1">
      <c r="A554" s="932"/>
      <c r="B554" s="1086"/>
      <c r="C554" s="1095"/>
      <c r="D554" s="1091"/>
      <c r="E554" s="1091"/>
      <c r="F554" s="1093"/>
      <c r="G554" s="98"/>
      <c r="H554" s="93"/>
      <c r="I554" s="1091"/>
      <c r="J554" s="1084"/>
      <c r="K554" s="1084"/>
      <c r="L554" s="932"/>
    </row>
    <row r="555" spans="1:12" s="106" customFormat="1" ht="15.75" hidden="1" customHeight="1" outlineLevel="1">
      <c r="A555" s="932"/>
      <c r="B555" s="1087"/>
      <c r="C555" s="1096"/>
      <c r="D555" s="1092"/>
      <c r="E555" s="1092"/>
      <c r="F555" s="1094"/>
      <c r="G555" s="103"/>
      <c r="H555" s="101"/>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93"/>
      <c r="I556" s="1091"/>
      <c r="J556" s="1083"/>
      <c r="K556" s="1083"/>
      <c r="L556" s="932"/>
    </row>
    <row r="557" spans="1:12" s="106" customFormat="1" ht="15.75" hidden="1" customHeight="1" outlineLevel="1">
      <c r="A557" s="932"/>
      <c r="B557" s="1086"/>
      <c r="C557" s="1095"/>
      <c r="D557" s="1091"/>
      <c r="E557" s="1091"/>
      <c r="F557" s="1093"/>
      <c r="G557" s="98"/>
      <c r="H557" s="93"/>
      <c r="I557" s="1091"/>
      <c r="J557" s="1084"/>
      <c r="K557" s="1084"/>
      <c r="L557" s="932"/>
    </row>
    <row r="558" spans="1:12" s="106" customFormat="1" ht="15.75" hidden="1" customHeight="1" outlineLevel="1">
      <c r="A558" s="932"/>
      <c r="B558" s="1087"/>
      <c r="C558" s="1096"/>
      <c r="D558" s="1092"/>
      <c r="E558" s="1092"/>
      <c r="F558" s="1094"/>
      <c r="G558" s="103"/>
      <c r="H558" s="101"/>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93"/>
      <c r="I559" s="1091"/>
      <c r="J559" s="1083"/>
      <c r="K559" s="1083"/>
      <c r="L559" s="932"/>
    </row>
    <row r="560" spans="1:12" s="106" customFormat="1" ht="15.75" hidden="1" customHeight="1" outlineLevel="1">
      <c r="A560" s="932"/>
      <c r="B560" s="1086"/>
      <c r="C560" s="1095"/>
      <c r="D560" s="1091"/>
      <c r="E560" s="1091"/>
      <c r="F560" s="1093"/>
      <c r="G560" s="98"/>
      <c r="H560" s="93"/>
      <c r="I560" s="1091"/>
      <c r="J560" s="1084"/>
      <c r="K560" s="1084"/>
      <c r="L560" s="932"/>
    </row>
    <row r="561" spans="1:12" s="106" customFormat="1" ht="15.75" hidden="1" customHeight="1" outlineLevel="1">
      <c r="A561" s="932"/>
      <c r="B561" s="1087"/>
      <c r="C561" s="1096"/>
      <c r="D561" s="1092"/>
      <c r="E561" s="1092"/>
      <c r="F561" s="1094"/>
      <c r="G561" s="103"/>
      <c r="H561" s="101"/>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93"/>
      <c r="I562" s="1091"/>
      <c r="J562" s="1083"/>
      <c r="K562" s="1083"/>
      <c r="L562" s="932"/>
    </row>
    <row r="563" spans="1:12" s="106" customFormat="1" ht="15.75" hidden="1" customHeight="1" outlineLevel="1">
      <c r="A563" s="932"/>
      <c r="B563" s="1086"/>
      <c r="C563" s="1095"/>
      <c r="D563" s="1091"/>
      <c r="E563" s="1091"/>
      <c r="F563" s="1093"/>
      <c r="G563" s="98"/>
      <c r="H563" s="93"/>
      <c r="I563" s="1091"/>
      <c r="J563" s="1084"/>
      <c r="K563" s="1084"/>
      <c r="L563" s="932"/>
    </row>
    <row r="564" spans="1:12" s="106" customFormat="1" ht="15.75" hidden="1" customHeight="1" outlineLevel="1">
      <c r="A564" s="932"/>
      <c r="B564" s="1087"/>
      <c r="C564" s="1096"/>
      <c r="D564" s="1092"/>
      <c r="E564" s="1092"/>
      <c r="F564" s="1094"/>
      <c r="G564" s="103"/>
      <c r="H564" s="101"/>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93"/>
      <c r="I565" s="1091"/>
      <c r="J565" s="1083"/>
      <c r="K565" s="1083"/>
      <c r="L565" s="932"/>
    </row>
    <row r="566" spans="1:12" s="106" customFormat="1" ht="15.75" hidden="1" customHeight="1" outlineLevel="1">
      <c r="A566" s="932"/>
      <c r="B566" s="1086"/>
      <c r="C566" s="1095"/>
      <c r="D566" s="1091"/>
      <c r="E566" s="1091"/>
      <c r="F566" s="1093"/>
      <c r="G566" s="98"/>
      <c r="H566" s="93"/>
      <c r="I566" s="1091"/>
      <c r="J566" s="1084"/>
      <c r="K566" s="1084"/>
      <c r="L566" s="932"/>
    </row>
    <row r="567" spans="1:12" s="106" customFormat="1" ht="15.75" hidden="1" customHeight="1" outlineLevel="1">
      <c r="A567" s="932"/>
      <c r="B567" s="1087"/>
      <c r="C567" s="1096"/>
      <c r="D567" s="1092"/>
      <c r="E567" s="1092"/>
      <c r="F567" s="1094"/>
      <c r="G567" s="103"/>
      <c r="H567" s="101"/>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93"/>
      <c r="I568" s="1091"/>
      <c r="J568" s="1083"/>
      <c r="K568" s="1083"/>
      <c r="L568" s="932"/>
    </row>
    <row r="569" spans="1:12" s="106" customFormat="1" ht="15.75" hidden="1" customHeight="1" outlineLevel="1">
      <c r="A569" s="932"/>
      <c r="B569" s="1086"/>
      <c r="C569" s="1095"/>
      <c r="D569" s="1091"/>
      <c r="E569" s="1091"/>
      <c r="F569" s="1093"/>
      <c r="G569" s="98"/>
      <c r="H569" s="93"/>
      <c r="I569" s="1091"/>
      <c r="J569" s="1084"/>
      <c r="K569" s="1084"/>
      <c r="L569" s="932"/>
    </row>
    <row r="570" spans="1:12" s="106" customFormat="1" ht="15.75" hidden="1" customHeight="1" outlineLevel="1">
      <c r="A570" s="932"/>
      <c r="B570" s="1087"/>
      <c r="C570" s="1096"/>
      <c r="D570" s="1092"/>
      <c r="E570" s="1092"/>
      <c r="F570" s="1094"/>
      <c r="G570" s="103"/>
      <c r="H570" s="101"/>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93"/>
      <c r="I571" s="1091"/>
      <c r="J571" s="1083"/>
      <c r="K571" s="1083"/>
      <c r="L571" s="932"/>
    </row>
    <row r="572" spans="1:12" s="106" customFormat="1" ht="15.75" hidden="1" customHeight="1" outlineLevel="1">
      <c r="A572" s="932"/>
      <c r="B572" s="1086"/>
      <c r="C572" s="1095"/>
      <c r="D572" s="1091"/>
      <c r="E572" s="1091"/>
      <c r="F572" s="1093"/>
      <c r="G572" s="98"/>
      <c r="H572" s="93"/>
      <c r="I572" s="1091"/>
      <c r="J572" s="1084"/>
      <c r="K572" s="1084"/>
      <c r="L572" s="932"/>
    </row>
    <row r="573" spans="1:12" s="106" customFormat="1" ht="15.75" hidden="1" customHeight="1" outlineLevel="1">
      <c r="A573" s="932"/>
      <c r="B573" s="1087"/>
      <c r="C573" s="1096"/>
      <c r="D573" s="1092"/>
      <c r="E573" s="1092"/>
      <c r="F573" s="1094"/>
      <c r="G573" s="103"/>
      <c r="H573" s="101"/>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93"/>
      <c r="I574" s="1091"/>
      <c r="J574" s="1083"/>
      <c r="K574" s="1083"/>
      <c r="L574" s="932"/>
    </row>
    <row r="575" spans="1:12" s="106" customFormat="1" ht="15.75" hidden="1" customHeight="1" outlineLevel="1">
      <c r="A575" s="932"/>
      <c r="B575" s="1086"/>
      <c r="C575" s="1095"/>
      <c r="D575" s="1091"/>
      <c r="E575" s="1091"/>
      <c r="F575" s="1093"/>
      <c r="G575" s="98"/>
      <c r="H575" s="93"/>
      <c r="I575" s="1091"/>
      <c r="J575" s="1084"/>
      <c r="K575" s="1084"/>
      <c r="L575" s="932"/>
    </row>
    <row r="576" spans="1:12" s="106" customFormat="1" ht="15.75" hidden="1" customHeight="1" outlineLevel="1">
      <c r="A576" s="932"/>
      <c r="B576" s="1087"/>
      <c r="C576" s="1096"/>
      <c r="D576" s="1092"/>
      <c r="E576" s="1092"/>
      <c r="F576" s="1094"/>
      <c r="G576" s="103"/>
      <c r="H576" s="101"/>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93"/>
      <c r="I577" s="1091"/>
      <c r="J577" s="1083"/>
      <c r="K577" s="1083"/>
      <c r="L577" s="932"/>
    </row>
    <row r="578" spans="1:12" s="106" customFormat="1" ht="15.75" hidden="1" customHeight="1" outlineLevel="1">
      <c r="A578" s="932"/>
      <c r="B578" s="1086"/>
      <c r="C578" s="1095"/>
      <c r="D578" s="1091"/>
      <c r="E578" s="1091"/>
      <c r="F578" s="1093"/>
      <c r="G578" s="98"/>
      <c r="H578" s="93"/>
      <c r="I578" s="1091"/>
      <c r="J578" s="1084"/>
      <c r="K578" s="1084"/>
      <c r="L578" s="932"/>
    </row>
    <row r="579" spans="1:12" s="106" customFormat="1" ht="15.75" hidden="1" customHeight="1" outlineLevel="1">
      <c r="A579" s="932"/>
      <c r="B579" s="1087"/>
      <c r="C579" s="1096"/>
      <c r="D579" s="1092"/>
      <c r="E579" s="1092"/>
      <c r="F579" s="1094"/>
      <c r="G579" s="103"/>
      <c r="H579" s="101"/>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93"/>
      <c r="I580" s="1091"/>
      <c r="J580" s="1083"/>
      <c r="K580" s="1083"/>
      <c r="L580" s="932"/>
    </row>
    <row r="581" spans="1:12" s="106" customFormat="1" ht="15.75" hidden="1" customHeight="1" outlineLevel="1">
      <c r="A581" s="932"/>
      <c r="B581" s="1086"/>
      <c r="C581" s="1095"/>
      <c r="D581" s="1091"/>
      <c r="E581" s="1091"/>
      <c r="F581" s="1093"/>
      <c r="G581" s="98"/>
      <c r="H581" s="93"/>
      <c r="I581" s="1091"/>
      <c r="J581" s="1084"/>
      <c r="K581" s="1084"/>
      <c r="L581" s="932"/>
    </row>
    <row r="582" spans="1:12" s="106" customFormat="1" ht="15.75" hidden="1" customHeight="1" outlineLevel="1">
      <c r="A582" s="932"/>
      <c r="B582" s="1087"/>
      <c r="C582" s="1096"/>
      <c r="D582" s="1092"/>
      <c r="E582" s="1092"/>
      <c r="F582" s="1094"/>
      <c r="G582" s="103"/>
      <c r="H582" s="101"/>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93"/>
      <c r="I583" s="1091"/>
      <c r="J583" s="1083"/>
      <c r="K583" s="1083"/>
      <c r="L583" s="932"/>
    </row>
    <row r="584" spans="1:12" s="106" customFormat="1" ht="15.75" hidden="1" customHeight="1" outlineLevel="1">
      <c r="A584" s="932"/>
      <c r="B584" s="1086"/>
      <c r="C584" s="1095"/>
      <c r="D584" s="1091"/>
      <c r="E584" s="1091"/>
      <c r="F584" s="1093"/>
      <c r="G584" s="98"/>
      <c r="H584" s="93"/>
      <c r="I584" s="1091"/>
      <c r="J584" s="1084"/>
      <c r="K584" s="1084"/>
      <c r="L584" s="932"/>
    </row>
    <row r="585" spans="1:12" s="106" customFormat="1" ht="15.75" hidden="1" customHeight="1" outlineLevel="1">
      <c r="A585" s="932"/>
      <c r="B585" s="1087"/>
      <c r="C585" s="1096"/>
      <c r="D585" s="1092"/>
      <c r="E585" s="1092"/>
      <c r="F585" s="1094"/>
      <c r="G585" s="103"/>
      <c r="H585" s="101"/>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93"/>
      <c r="I586" s="1091"/>
      <c r="J586" s="1083"/>
      <c r="K586" s="1083"/>
      <c r="L586" s="932"/>
    </row>
    <row r="587" spans="1:12" s="106" customFormat="1" ht="15.75" hidden="1" customHeight="1" outlineLevel="1">
      <c r="A587" s="932"/>
      <c r="B587" s="1086"/>
      <c r="C587" s="1095"/>
      <c r="D587" s="1091"/>
      <c r="E587" s="1091"/>
      <c r="F587" s="1093"/>
      <c r="G587" s="98"/>
      <c r="H587" s="93"/>
      <c r="I587" s="1091"/>
      <c r="J587" s="1084"/>
      <c r="K587" s="1084"/>
      <c r="L587" s="932"/>
    </row>
    <row r="588" spans="1:12" s="106" customFormat="1" ht="15.75" hidden="1" customHeight="1" outlineLevel="1">
      <c r="A588" s="932"/>
      <c r="B588" s="1087"/>
      <c r="C588" s="1096"/>
      <c r="D588" s="1092"/>
      <c r="E588" s="1092"/>
      <c r="F588" s="1094"/>
      <c r="G588" s="103"/>
      <c r="H588" s="101"/>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93"/>
      <c r="I589" s="1091"/>
      <c r="J589" s="1083"/>
      <c r="K589" s="1083"/>
      <c r="L589" s="932"/>
    </row>
    <row r="590" spans="1:12" s="106" customFormat="1" ht="15.75" hidden="1" customHeight="1" outlineLevel="1">
      <c r="A590" s="932"/>
      <c r="B590" s="1086"/>
      <c r="C590" s="1095"/>
      <c r="D590" s="1091"/>
      <c r="E590" s="1091"/>
      <c r="F590" s="1093"/>
      <c r="G590" s="98"/>
      <c r="H590" s="93"/>
      <c r="I590" s="1091"/>
      <c r="J590" s="1084"/>
      <c r="K590" s="1084"/>
      <c r="L590" s="932"/>
    </row>
    <row r="591" spans="1:12" s="106" customFormat="1" ht="15.75" hidden="1" customHeight="1" outlineLevel="1">
      <c r="A591" s="932"/>
      <c r="B591" s="1087"/>
      <c r="C591" s="1096"/>
      <c r="D591" s="1092"/>
      <c r="E591" s="1092"/>
      <c r="F591" s="1094"/>
      <c r="G591" s="103"/>
      <c r="H591" s="101"/>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93"/>
      <c r="I592" s="1091"/>
      <c r="J592" s="1083"/>
      <c r="K592" s="1083"/>
      <c r="L592" s="932"/>
    </row>
    <row r="593" spans="1:12" s="106" customFormat="1" ht="15.75" hidden="1" customHeight="1" outlineLevel="1">
      <c r="A593" s="932"/>
      <c r="B593" s="1086"/>
      <c r="C593" s="1095"/>
      <c r="D593" s="1091"/>
      <c r="E593" s="1091"/>
      <c r="F593" s="1093"/>
      <c r="G593" s="98"/>
      <c r="H593" s="93"/>
      <c r="I593" s="1091"/>
      <c r="J593" s="1084"/>
      <c r="K593" s="1084"/>
      <c r="L593" s="932"/>
    </row>
    <row r="594" spans="1:12" s="106" customFormat="1" ht="15.75" hidden="1" customHeight="1" outlineLevel="1">
      <c r="A594" s="932"/>
      <c r="B594" s="1087"/>
      <c r="C594" s="1096"/>
      <c r="D594" s="1092"/>
      <c r="E594" s="1092"/>
      <c r="F594" s="1094"/>
      <c r="G594" s="103"/>
      <c r="H594" s="101"/>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93"/>
      <c r="I595" s="1091"/>
      <c r="J595" s="1083"/>
      <c r="K595" s="1083"/>
      <c r="L595" s="932"/>
    </row>
    <row r="596" spans="1:12" s="106" customFormat="1" ht="15.75" hidden="1" customHeight="1" outlineLevel="1">
      <c r="A596" s="932"/>
      <c r="B596" s="1086"/>
      <c r="C596" s="1095"/>
      <c r="D596" s="1091"/>
      <c r="E596" s="1091"/>
      <c r="F596" s="1093"/>
      <c r="G596" s="98"/>
      <c r="H596" s="93"/>
      <c r="I596" s="1091"/>
      <c r="J596" s="1084"/>
      <c r="K596" s="1084"/>
      <c r="L596" s="932"/>
    </row>
    <row r="597" spans="1:12" s="106" customFormat="1" ht="15.75" hidden="1" customHeight="1" outlineLevel="1">
      <c r="A597" s="932"/>
      <c r="B597" s="1087"/>
      <c r="C597" s="1096"/>
      <c r="D597" s="1092"/>
      <c r="E597" s="1092"/>
      <c r="F597" s="1094"/>
      <c r="G597" s="103"/>
      <c r="H597" s="101"/>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93"/>
      <c r="I598" s="1091"/>
      <c r="J598" s="1083"/>
      <c r="K598" s="1083"/>
      <c r="L598" s="932"/>
    </row>
    <row r="599" spans="1:12" s="106" customFormat="1" ht="15.75" hidden="1" customHeight="1" outlineLevel="1">
      <c r="A599" s="932"/>
      <c r="B599" s="1086"/>
      <c r="C599" s="1095"/>
      <c r="D599" s="1091"/>
      <c r="E599" s="1091"/>
      <c r="F599" s="1093"/>
      <c r="G599" s="98"/>
      <c r="H599" s="93"/>
      <c r="I599" s="1091"/>
      <c r="J599" s="1084"/>
      <c r="K599" s="1084"/>
      <c r="L599" s="932"/>
    </row>
    <row r="600" spans="1:12" s="106" customFormat="1" ht="15.75" hidden="1" customHeight="1" outlineLevel="1">
      <c r="A600" s="932"/>
      <c r="B600" s="1087"/>
      <c r="C600" s="1096"/>
      <c r="D600" s="1092"/>
      <c r="E600" s="1092"/>
      <c r="F600" s="1094"/>
      <c r="G600" s="103"/>
      <c r="H600" s="101"/>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93"/>
      <c r="I601" s="1091"/>
      <c r="J601" s="1083"/>
      <c r="K601" s="1083"/>
      <c r="L601" s="932"/>
    </row>
    <row r="602" spans="1:12" s="106" customFormat="1" ht="15.75" hidden="1" customHeight="1" outlineLevel="1">
      <c r="A602" s="932"/>
      <c r="B602" s="1086"/>
      <c r="C602" s="1095"/>
      <c r="D602" s="1091"/>
      <c r="E602" s="1091"/>
      <c r="F602" s="1093"/>
      <c r="G602" s="98"/>
      <c r="H602" s="93"/>
      <c r="I602" s="1091"/>
      <c r="J602" s="1084"/>
      <c r="K602" s="1084"/>
      <c r="L602" s="932"/>
    </row>
    <row r="603" spans="1:12" s="106" customFormat="1" ht="15.75" hidden="1" customHeight="1" outlineLevel="1">
      <c r="A603" s="932"/>
      <c r="B603" s="1087"/>
      <c r="C603" s="1096"/>
      <c r="D603" s="1092"/>
      <c r="E603" s="1092"/>
      <c r="F603" s="1094"/>
      <c r="G603" s="103"/>
      <c r="H603" s="101"/>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93"/>
      <c r="I604" s="1091"/>
      <c r="J604" s="1083"/>
      <c r="K604" s="1083"/>
      <c r="L604" s="932"/>
    </row>
    <row r="605" spans="1:12" s="106" customFormat="1" ht="15.75" hidden="1" customHeight="1" outlineLevel="1">
      <c r="A605" s="932"/>
      <c r="B605" s="1086"/>
      <c r="C605" s="1095"/>
      <c r="D605" s="1091"/>
      <c r="E605" s="1091"/>
      <c r="F605" s="1093"/>
      <c r="G605" s="98"/>
      <c r="H605" s="93"/>
      <c r="I605" s="1091"/>
      <c r="J605" s="1084"/>
      <c r="K605" s="1084"/>
      <c r="L605" s="932"/>
    </row>
    <row r="606" spans="1:12" s="106" customFormat="1" ht="15.75" hidden="1" customHeight="1" outlineLevel="1">
      <c r="A606" s="932"/>
      <c r="B606" s="1087"/>
      <c r="C606" s="1096"/>
      <c r="D606" s="1092"/>
      <c r="E606" s="1092"/>
      <c r="F606" s="1094"/>
      <c r="G606" s="103"/>
      <c r="H606" s="101"/>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93"/>
      <c r="I607" s="1091"/>
      <c r="J607" s="1083"/>
      <c r="K607" s="1083"/>
      <c r="L607" s="932"/>
    </row>
    <row r="608" spans="1:12" s="106" customFormat="1" ht="15.75" hidden="1" customHeight="1" outlineLevel="1">
      <c r="A608" s="932"/>
      <c r="B608" s="1086"/>
      <c r="C608" s="1095"/>
      <c r="D608" s="1091"/>
      <c r="E608" s="1091"/>
      <c r="F608" s="1093"/>
      <c r="G608" s="98"/>
      <c r="H608" s="93"/>
      <c r="I608" s="1091"/>
      <c r="J608" s="1084"/>
      <c r="K608" s="1084"/>
      <c r="L608" s="932"/>
    </row>
    <row r="609" spans="1:12" s="106" customFormat="1" ht="15.75" hidden="1" customHeight="1" outlineLevel="1">
      <c r="A609" s="932"/>
      <c r="B609" s="1087"/>
      <c r="C609" s="1096"/>
      <c r="D609" s="1092"/>
      <c r="E609" s="1092"/>
      <c r="F609" s="1094"/>
      <c r="G609" s="103"/>
      <c r="H609" s="101"/>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row>
    <row r="611" spans="1:12" s="106" customFormat="1" ht="15.75" hidden="1" customHeight="1" outlineLevel="1">
      <c r="A611" s="932"/>
      <c r="B611" s="1086"/>
      <c r="C611" s="1089"/>
      <c r="D611" s="1091"/>
      <c r="E611" s="1091"/>
      <c r="F611" s="1093"/>
      <c r="G611" s="98"/>
      <c r="H611" s="93"/>
      <c r="I611" s="1091"/>
      <c r="J611" s="1084"/>
      <c r="K611" s="1084"/>
      <c r="L611" s="932"/>
    </row>
    <row r="612" spans="1:12" s="106" customFormat="1" ht="15.75" hidden="1" customHeight="1" outlineLevel="1" thickBot="1">
      <c r="A612" s="932"/>
      <c r="B612" s="1087"/>
      <c r="C612" s="1090"/>
      <c r="D612" s="1092"/>
      <c r="E612" s="1092"/>
      <c r="F612" s="1094"/>
      <c r="G612" s="103"/>
      <c r="H612" s="101"/>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s>
  <phoneticPr fontId="2" type="noConversion"/>
  <dataValidations disablePrompts="1" count="1">
    <dataValidation type="list" allowBlank="1" showInputMessage="1" showErrorMessage="1" sqref="E13:E612" xr:uid="{00000000-0002-0000-1300-000000000000}">
      <formula1>$N$13:$N$17</formula1>
    </dataValidation>
  </dataValidations>
  <hyperlinks>
    <hyperlink ref="C1" location="Spis!B45" display="&gt;&gt; powrót do spisu treści" xr:uid="{00000000-0004-0000-13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0">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081" t="s">
        <v>21</v>
      </c>
      <c r="D3" s="1081"/>
      <c r="E3" s="1081"/>
      <c r="F3" s="1081"/>
      <c r="G3" s="1081"/>
      <c r="H3" s="1082"/>
      <c r="I3" s="919"/>
      <c r="J3" s="896"/>
      <c r="K3" s="896"/>
      <c r="L3" s="896"/>
    </row>
    <row r="4" spans="1:19" ht="15" customHeight="1">
      <c r="A4" s="914"/>
      <c r="B4" s="931" t="s">
        <v>29</v>
      </c>
      <c r="C4" s="1081" t="s">
        <v>181</v>
      </c>
      <c r="D4" s="1081"/>
      <c r="E4" s="1081"/>
      <c r="F4" s="1081"/>
      <c r="G4" s="1081"/>
      <c r="H4" s="1082"/>
      <c r="I4" s="919"/>
      <c r="J4" s="896"/>
      <c r="K4" s="896"/>
      <c r="L4" s="896"/>
    </row>
    <row r="5" spans="1:19" ht="15" customHeight="1">
      <c r="A5" s="896"/>
      <c r="B5" s="913" t="s">
        <v>30</v>
      </c>
      <c r="C5" s="1044" t="s">
        <v>107</v>
      </c>
      <c r="D5" s="1044"/>
      <c r="E5" s="1044"/>
      <c r="F5" s="1044"/>
      <c r="G5" s="1044"/>
      <c r="H5" s="1082"/>
      <c r="I5" s="919"/>
      <c r="J5" s="896"/>
      <c r="K5" s="896"/>
      <c r="L5" s="896"/>
    </row>
    <row r="6" spans="1:19" ht="50.1" customHeight="1">
      <c r="A6" s="896"/>
      <c r="B6" s="913" t="s">
        <v>37</v>
      </c>
      <c r="C6" s="1044" t="s">
        <v>179</v>
      </c>
      <c r="D6" s="1048"/>
      <c r="E6" s="1048"/>
      <c r="F6" s="1048"/>
      <c r="G6" s="1048"/>
      <c r="H6" s="1082"/>
      <c r="I6" s="919"/>
      <c r="J6" s="896"/>
      <c r="K6" s="896"/>
      <c r="L6" s="896"/>
    </row>
    <row r="7" spans="1:19" s="82" customFormat="1" ht="30" customHeight="1" thickBot="1">
      <c r="A7" s="923"/>
      <c r="B7" s="924" t="s">
        <v>262</v>
      </c>
      <c r="C7" s="927"/>
      <c r="D7" s="925"/>
      <c r="E7" s="923"/>
      <c r="F7" s="926"/>
      <c r="G7" s="927"/>
      <c r="H7" s="928"/>
      <c r="I7" s="928"/>
      <c r="J7" s="929"/>
      <c r="K7" s="929"/>
      <c r="L7" s="929"/>
      <c r="M7" s="84"/>
    </row>
    <row r="8" spans="1:19"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s="79"/>
      <c r="Q8" s="79"/>
      <c r="R8" s="79"/>
      <c r="S8" s="79"/>
    </row>
    <row r="9" spans="1:19" ht="20.100000000000001" customHeight="1" thickBot="1">
      <c r="A9" s="896"/>
      <c r="B9" s="1110"/>
      <c r="C9" s="1080"/>
      <c r="D9" s="1080"/>
      <c r="E9" s="1080"/>
      <c r="F9" s="1080"/>
      <c r="G9" s="1080"/>
      <c r="H9" s="1080"/>
      <c r="I9" s="1077"/>
      <c r="J9" s="633">
        <f>Rok_ZPR</f>
        <v>2020</v>
      </c>
      <c r="K9" s="1076"/>
      <c r="L9" s="876"/>
      <c r="M9" s="87"/>
      <c r="N9" s="79"/>
      <c r="O9" s="79"/>
      <c r="P9" s="79"/>
      <c r="Q9" s="79"/>
      <c r="R9" s="79"/>
      <c r="S9" s="79"/>
    </row>
    <row r="10" spans="1:19" ht="20.100000000000001" customHeight="1">
      <c r="A10" s="896"/>
      <c r="B10" s="1110"/>
      <c r="C10" s="1080"/>
      <c r="D10" s="1080"/>
      <c r="E10" s="1080"/>
      <c r="F10" s="1080"/>
      <c r="G10" s="1080"/>
      <c r="H10" s="1080"/>
      <c r="I10" s="1078"/>
      <c r="J10" s="633" t="str">
        <f>'Tab.G1.1-4'!$D$11</f>
        <v>[tys. zł]</v>
      </c>
      <c r="K10" s="1076"/>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row>
    <row r="14" spans="1:19" s="85" customFormat="1" ht="12.75" customHeight="1">
      <c r="A14" s="916"/>
      <c r="B14" s="1086"/>
      <c r="C14" s="1111"/>
      <c r="D14" s="1091"/>
      <c r="E14" s="1091"/>
      <c r="F14" s="1093"/>
      <c r="G14" s="98"/>
      <c r="H14" s="1091"/>
      <c r="I14" s="1091"/>
      <c r="J14" s="1084"/>
      <c r="K14" s="1084"/>
      <c r="L14" s="908"/>
      <c r="M14" s="89"/>
      <c r="N14" s="99" t="s">
        <v>24</v>
      </c>
      <c r="O14" s="100" t="s">
        <v>62</v>
      </c>
    </row>
    <row r="15" spans="1:19" s="85" customFormat="1" ht="12.75" customHeight="1">
      <c r="A15" s="916"/>
      <c r="B15" s="1087"/>
      <c r="C15" s="1112"/>
      <c r="D15" s="1092"/>
      <c r="E15" s="1092"/>
      <c r="F15" s="1094"/>
      <c r="G15" s="103"/>
      <c r="H15" s="1092"/>
      <c r="I15" s="1092"/>
      <c r="J15" s="1085"/>
      <c r="K15" s="1085"/>
      <c r="L15" s="908"/>
      <c r="M15" s="89"/>
      <c r="N15" s="99" t="s">
        <v>25</v>
      </c>
      <c r="O15" s="100" t="s">
        <v>26</v>
      </c>
    </row>
    <row r="16" spans="1:19"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row>
    <row r="17" spans="1:15" s="85" customFormat="1" ht="12.75" customHeight="1" thickBot="1">
      <c r="A17" s="916"/>
      <c r="B17" s="1086"/>
      <c r="C17" s="1095"/>
      <c r="D17" s="1091"/>
      <c r="E17" s="1091"/>
      <c r="F17" s="1093"/>
      <c r="G17" s="98"/>
      <c r="H17" s="1091"/>
      <c r="I17" s="1091"/>
      <c r="J17" s="1084"/>
      <c r="K17" s="1084"/>
      <c r="L17" s="908"/>
      <c r="M17" s="89"/>
      <c r="N17" s="104" t="s">
        <v>20</v>
      </c>
      <c r="O17" s="105" t="s">
        <v>20</v>
      </c>
    </row>
    <row r="18" spans="1:15" s="85" customFormat="1" ht="12.75" customHeight="1">
      <c r="A18" s="916"/>
      <c r="B18" s="1087"/>
      <c r="C18" s="1096"/>
      <c r="D18" s="1092"/>
      <c r="E18" s="1092"/>
      <c r="F18" s="1094"/>
      <c r="G18" s="103"/>
      <c r="H18" s="1092"/>
      <c r="I18" s="1092"/>
      <c r="J18" s="1085"/>
      <c r="K18" s="1085"/>
      <c r="L18" s="908"/>
      <c r="M18" s="89"/>
      <c r="N18" s="106"/>
      <c r="O18" s="107"/>
    </row>
    <row r="19" spans="1:15" s="85" customFormat="1" ht="12.75" customHeight="1">
      <c r="A19" s="916"/>
      <c r="B19" s="1086">
        <v>3</v>
      </c>
      <c r="C19" s="1095"/>
      <c r="D19" s="1091"/>
      <c r="E19" s="1091" t="s">
        <v>20</v>
      </c>
      <c r="F19" s="1093" t="str">
        <f>VLOOKUP(E19,$N$13:$O$17,2,0)</f>
        <v>-</v>
      </c>
      <c r="G19" s="95"/>
      <c r="H19" s="1091"/>
      <c r="I19" s="1091"/>
      <c r="J19" s="1083"/>
      <c r="K19" s="1083"/>
      <c r="L19" s="908"/>
      <c r="M19" s="89"/>
      <c r="N19" s="106"/>
      <c r="O19" s="107"/>
    </row>
    <row r="20" spans="1:15" s="85" customFormat="1" ht="12.75" customHeight="1">
      <c r="A20" s="916"/>
      <c r="B20" s="1086"/>
      <c r="C20" s="1095"/>
      <c r="D20" s="1091"/>
      <c r="E20" s="1091"/>
      <c r="F20" s="1093"/>
      <c r="G20" s="98"/>
      <c r="H20" s="1091"/>
      <c r="I20" s="1091"/>
      <c r="J20" s="1084"/>
      <c r="K20" s="1084"/>
      <c r="L20" s="908"/>
      <c r="M20" s="89"/>
      <c r="N20" s="106"/>
      <c r="O20" s="107"/>
    </row>
    <row r="21" spans="1:15" s="85" customFormat="1" ht="12.75" customHeight="1">
      <c r="A21" s="916"/>
      <c r="B21" s="1087"/>
      <c r="C21" s="1096"/>
      <c r="D21" s="1092"/>
      <c r="E21" s="1092"/>
      <c r="F21" s="1094"/>
      <c r="G21" s="103"/>
      <c r="H21" s="1092"/>
      <c r="I21" s="1092"/>
      <c r="J21" s="1085"/>
      <c r="K21" s="1085"/>
      <c r="L21" s="908"/>
      <c r="M21" s="89"/>
      <c r="N21" s="106"/>
      <c r="O21" s="107"/>
    </row>
    <row r="22" spans="1:15" s="85" customFormat="1" ht="12.75" customHeight="1">
      <c r="A22" s="916"/>
      <c r="B22" s="1086">
        <v>4</v>
      </c>
      <c r="C22" s="1095"/>
      <c r="D22" s="1091"/>
      <c r="E22" s="1091" t="s">
        <v>20</v>
      </c>
      <c r="F22" s="1093" t="str">
        <f>VLOOKUP(E22,$N$13:$O$17,2,0)</f>
        <v>-</v>
      </c>
      <c r="G22" s="95"/>
      <c r="H22" s="1091"/>
      <c r="I22" s="1091"/>
      <c r="J22" s="1083"/>
      <c r="K22" s="1083"/>
      <c r="L22" s="908"/>
      <c r="M22" s="89"/>
      <c r="N22" s="106"/>
      <c r="O22" s="107"/>
    </row>
    <row r="23" spans="1:15" s="85" customFormat="1" ht="12.75" customHeight="1">
      <c r="A23" s="916"/>
      <c r="B23" s="1086"/>
      <c r="C23" s="1095"/>
      <c r="D23" s="1091"/>
      <c r="E23" s="1091"/>
      <c r="F23" s="1093"/>
      <c r="G23" s="98"/>
      <c r="H23" s="1091"/>
      <c r="I23" s="1091"/>
      <c r="J23" s="1084"/>
      <c r="K23" s="1084"/>
      <c r="L23" s="908"/>
      <c r="M23" s="89"/>
      <c r="N23" s="106"/>
      <c r="O23" s="107"/>
    </row>
    <row r="24" spans="1:15" s="85" customFormat="1" ht="12.75" customHeight="1">
      <c r="A24" s="916"/>
      <c r="B24" s="1087"/>
      <c r="C24" s="1096"/>
      <c r="D24" s="1092"/>
      <c r="E24" s="1092"/>
      <c r="F24" s="1094"/>
      <c r="G24" s="103"/>
      <c r="H24" s="1092"/>
      <c r="I24" s="1092"/>
      <c r="J24" s="1085"/>
      <c r="K24" s="1085"/>
      <c r="L24" s="908"/>
      <c r="M24" s="89"/>
      <c r="N24" s="106"/>
      <c r="O24" s="107"/>
    </row>
    <row r="25" spans="1:15" s="85" customFormat="1" ht="12.75" customHeight="1">
      <c r="A25" s="916"/>
      <c r="B25" s="1086">
        <v>5</v>
      </c>
      <c r="C25" s="1095"/>
      <c r="D25" s="1091"/>
      <c r="E25" s="1091" t="s">
        <v>20</v>
      </c>
      <c r="F25" s="1093" t="str">
        <f>VLOOKUP(E25,$N$13:$O$17,2,0)</f>
        <v>-</v>
      </c>
      <c r="G25" s="95"/>
      <c r="H25" s="1091"/>
      <c r="I25" s="1091"/>
      <c r="J25" s="1083"/>
      <c r="K25" s="1083"/>
      <c r="L25" s="908"/>
      <c r="M25" s="89"/>
      <c r="N25" s="106"/>
      <c r="O25" s="107"/>
    </row>
    <row r="26" spans="1:15" s="85" customFormat="1" ht="12.75" customHeight="1">
      <c r="A26" s="916"/>
      <c r="B26" s="1086"/>
      <c r="C26" s="1095"/>
      <c r="D26" s="1091"/>
      <c r="E26" s="1091"/>
      <c r="F26" s="1093"/>
      <c r="G26" s="98"/>
      <c r="H26" s="1091"/>
      <c r="I26" s="1091"/>
      <c r="J26" s="1084"/>
      <c r="K26" s="1084"/>
      <c r="L26" s="908"/>
      <c r="M26" s="89"/>
      <c r="N26" s="106"/>
      <c r="O26" s="107"/>
    </row>
    <row r="27" spans="1:15" s="85" customFormat="1" ht="12.75" customHeight="1">
      <c r="A27" s="916"/>
      <c r="B27" s="1087"/>
      <c r="C27" s="1096"/>
      <c r="D27" s="1092"/>
      <c r="E27" s="1092"/>
      <c r="F27" s="1094"/>
      <c r="G27" s="103"/>
      <c r="H27" s="1092"/>
      <c r="I27" s="1092"/>
      <c r="J27" s="1085"/>
      <c r="K27" s="1085"/>
      <c r="L27" s="908"/>
      <c r="M27" s="89"/>
      <c r="N27" s="106"/>
      <c r="O27" s="107"/>
    </row>
    <row r="28" spans="1:15" s="85" customFormat="1" ht="12.75" customHeight="1">
      <c r="A28" s="916"/>
      <c r="B28" s="1086">
        <v>6</v>
      </c>
      <c r="C28" s="1095"/>
      <c r="D28" s="1091"/>
      <c r="E28" s="1091" t="s">
        <v>20</v>
      </c>
      <c r="F28" s="1093" t="str">
        <f>VLOOKUP(E28,$N$13:$O$17,2,0)</f>
        <v>-</v>
      </c>
      <c r="G28" s="95"/>
      <c r="H28" s="1091"/>
      <c r="I28" s="1091"/>
      <c r="J28" s="1083"/>
      <c r="K28" s="1083"/>
      <c r="L28" s="908"/>
      <c r="M28" s="89"/>
      <c r="N28" s="106"/>
      <c r="O28" s="107"/>
    </row>
    <row r="29" spans="1:15" s="85" customFormat="1" ht="12.75" customHeight="1">
      <c r="A29" s="916"/>
      <c r="B29" s="1086"/>
      <c r="C29" s="1095"/>
      <c r="D29" s="1091"/>
      <c r="E29" s="1091"/>
      <c r="F29" s="1093"/>
      <c r="G29" s="98"/>
      <c r="H29" s="1091"/>
      <c r="I29" s="1091"/>
      <c r="J29" s="1084"/>
      <c r="K29" s="1084"/>
      <c r="L29" s="908"/>
      <c r="M29" s="89"/>
      <c r="N29" s="106"/>
      <c r="O29" s="107"/>
    </row>
    <row r="30" spans="1:15" s="85" customFormat="1" ht="12.75" customHeight="1">
      <c r="A30" s="916"/>
      <c r="B30" s="1087"/>
      <c r="C30" s="1096"/>
      <c r="D30" s="1092"/>
      <c r="E30" s="1092"/>
      <c r="F30" s="1094"/>
      <c r="G30" s="103"/>
      <c r="H30" s="1092"/>
      <c r="I30" s="1092"/>
      <c r="J30" s="1085"/>
      <c r="K30" s="1085"/>
      <c r="L30" s="908"/>
      <c r="M30" s="89"/>
      <c r="N30" s="106"/>
      <c r="O30" s="107"/>
    </row>
    <row r="31" spans="1:15" s="85" customFormat="1" ht="12.75" customHeight="1">
      <c r="A31" s="916"/>
      <c r="B31" s="1086">
        <v>7</v>
      </c>
      <c r="C31" s="1095"/>
      <c r="D31" s="1091"/>
      <c r="E31" s="1091" t="s">
        <v>20</v>
      </c>
      <c r="F31" s="1093" t="str">
        <f>VLOOKUP(E31,$N$13:$O$17,2,0)</f>
        <v>-</v>
      </c>
      <c r="G31" s="95"/>
      <c r="H31" s="1091"/>
      <c r="I31" s="1091"/>
      <c r="J31" s="1083"/>
      <c r="K31" s="1083"/>
      <c r="L31" s="908"/>
      <c r="M31" s="89"/>
      <c r="N31" s="106"/>
      <c r="O31" s="107"/>
    </row>
    <row r="32" spans="1:15" s="85" customFormat="1" ht="12.75" customHeight="1">
      <c r="A32" s="916"/>
      <c r="B32" s="1086"/>
      <c r="C32" s="1095"/>
      <c r="D32" s="1091"/>
      <c r="E32" s="1091"/>
      <c r="F32" s="1093"/>
      <c r="G32" s="98"/>
      <c r="H32" s="1091"/>
      <c r="I32" s="1091"/>
      <c r="J32" s="1084"/>
      <c r="K32" s="1084"/>
      <c r="L32" s="908"/>
      <c r="M32" s="89"/>
      <c r="N32" s="106"/>
      <c r="O32" s="107"/>
    </row>
    <row r="33" spans="1:15" s="85" customFormat="1" ht="12.75" customHeight="1">
      <c r="A33" s="916"/>
      <c r="B33" s="1087"/>
      <c r="C33" s="1096"/>
      <c r="D33" s="1092"/>
      <c r="E33" s="1092"/>
      <c r="F33" s="1094"/>
      <c r="G33" s="103"/>
      <c r="H33" s="1092"/>
      <c r="I33" s="1092"/>
      <c r="J33" s="1085"/>
      <c r="K33" s="1085"/>
      <c r="L33" s="908"/>
      <c r="M33" s="89"/>
      <c r="N33" s="106"/>
      <c r="O33" s="107"/>
    </row>
    <row r="34" spans="1:15" s="85" customFormat="1" ht="12.75" customHeight="1">
      <c r="A34" s="916"/>
      <c r="B34" s="1086">
        <v>8</v>
      </c>
      <c r="C34" s="1095"/>
      <c r="D34" s="1091"/>
      <c r="E34" s="1091" t="s">
        <v>20</v>
      </c>
      <c r="F34" s="1093" t="str">
        <f>VLOOKUP(E34,$N$13:$O$17,2,0)</f>
        <v>-</v>
      </c>
      <c r="G34" s="95"/>
      <c r="H34" s="1091"/>
      <c r="I34" s="1091"/>
      <c r="J34" s="1083"/>
      <c r="K34" s="1083"/>
      <c r="L34" s="908"/>
      <c r="M34" s="89"/>
      <c r="N34" s="106"/>
      <c r="O34" s="107"/>
    </row>
    <row r="35" spans="1:15" s="85" customFormat="1" ht="12.75" customHeight="1">
      <c r="A35" s="916"/>
      <c r="B35" s="1086"/>
      <c r="C35" s="1095"/>
      <c r="D35" s="1091"/>
      <c r="E35" s="1091"/>
      <c r="F35" s="1093"/>
      <c r="G35" s="841"/>
      <c r="H35" s="1091"/>
      <c r="I35" s="1091"/>
      <c r="J35" s="1084"/>
      <c r="K35" s="1084"/>
      <c r="L35" s="908"/>
      <c r="M35" s="89"/>
      <c r="N35" s="106"/>
      <c r="O35" s="107"/>
    </row>
    <row r="36" spans="1:15" s="85" customFormat="1" ht="12.75" customHeight="1">
      <c r="A36" s="916"/>
      <c r="B36" s="1087"/>
      <c r="C36" s="1096"/>
      <c r="D36" s="1092"/>
      <c r="E36" s="1092"/>
      <c r="F36" s="1094"/>
      <c r="G36" s="103"/>
      <c r="H36" s="1092"/>
      <c r="I36" s="1092"/>
      <c r="J36" s="1085"/>
      <c r="K36" s="1085"/>
      <c r="L36" s="908"/>
      <c r="M36" s="89"/>
      <c r="N36" s="106"/>
      <c r="O36" s="107"/>
    </row>
    <row r="37" spans="1:15" s="85" customFormat="1" ht="12.75" customHeight="1">
      <c r="A37" s="916"/>
      <c r="B37" s="1086">
        <v>9</v>
      </c>
      <c r="C37" s="1095"/>
      <c r="D37" s="1091"/>
      <c r="E37" s="1091" t="s">
        <v>20</v>
      </c>
      <c r="F37" s="1093" t="str">
        <f>VLOOKUP(E37,$N$13:$O$17,2,0)</f>
        <v>-</v>
      </c>
      <c r="G37" s="95"/>
      <c r="H37" s="1091"/>
      <c r="I37" s="1091"/>
      <c r="J37" s="1083"/>
      <c r="K37" s="1083"/>
      <c r="L37" s="908"/>
      <c r="M37" s="89"/>
      <c r="N37" s="106"/>
      <c r="O37" s="107"/>
    </row>
    <row r="38" spans="1:15" s="85" customFormat="1" ht="12.75" customHeight="1">
      <c r="A38" s="916"/>
      <c r="B38" s="1086"/>
      <c r="C38" s="1095"/>
      <c r="D38" s="1091"/>
      <c r="E38" s="1091"/>
      <c r="F38" s="1093"/>
      <c r="G38" s="98"/>
      <c r="H38" s="1091"/>
      <c r="I38" s="1091"/>
      <c r="J38" s="1084"/>
      <c r="K38" s="1084"/>
      <c r="L38" s="908"/>
      <c r="M38" s="89"/>
      <c r="N38" s="106"/>
      <c r="O38" s="107"/>
    </row>
    <row r="39" spans="1:15" s="85" customFormat="1" ht="12.75" customHeight="1">
      <c r="A39" s="916"/>
      <c r="B39" s="1087"/>
      <c r="C39" s="1096"/>
      <c r="D39" s="1092"/>
      <c r="E39" s="1092"/>
      <c r="F39" s="1094"/>
      <c r="G39" s="103"/>
      <c r="H39" s="1092"/>
      <c r="I39" s="1092"/>
      <c r="J39" s="1085"/>
      <c r="K39" s="1085"/>
      <c r="L39" s="908"/>
      <c r="M39" s="89"/>
      <c r="N39" s="106"/>
      <c r="O39" s="107"/>
    </row>
    <row r="40" spans="1:15" s="85" customFormat="1" ht="12.75" customHeight="1">
      <c r="A40" s="916"/>
      <c r="B40" s="1086">
        <v>10</v>
      </c>
      <c r="C40" s="1095"/>
      <c r="D40" s="1091"/>
      <c r="E40" s="1091" t="s">
        <v>20</v>
      </c>
      <c r="F40" s="1093" t="str">
        <f>VLOOKUP(E40,$N$13:$O$17,2,0)</f>
        <v>-</v>
      </c>
      <c r="G40" s="95"/>
      <c r="H40" s="1091"/>
      <c r="I40" s="1091"/>
      <c r="J40" s="1083"/>
      <c r="K40" s="1083"/>
      <c r="L40" s="908"/>
      <c r="M40" s="89"/>
      <c r="N40" s="106"/>
      <c r="O40" s="107"/>
    </row>
    <row r="41" spans="1:15" s="85" customFormat="1" ht="12.75" customHeight="1">
      <c r="A41" s="916"/>
      <c r="B41" s="1086"/>
      <c r="C41" s="1095"/>
      <c r="D41" s="1091"/>
      <c r="E41" s="1091"/>
      <c r="F41" s="1093"/>
      <c r="G41" s="98"/>
      <c r="H41" s="1091"/>
      <c r="I41" s="1091"/>
      <c r="J41" s="1084"/>
      <c r="K41" s="1084"/>
      <c r="L41" s="908"/>
      <c r="M41" s="89"/>
      <c r="N41" s="106"/>
      <c r="O41" s="107"/>
    </row>
    <row r="42" spans="1:15" s="85" customFormat="1" ht="12.75" customHeight="1" thickBot="1">
      <c r="A42" s="916"/>
      <c r="B42" s="1087"/>
      <c r="C42" s="1096"/>
      <c r="D42" s="1092"/>
      <c r="E42" s="1092"/>
      <c r="F42" s="1094"/>
      <c r="G42" s="103"/>
      <c r="H42" s="1092"/>
      <c r="I42" s="1092"/>
      <c r="J42" s="1085"/>
      <c r="K42" s="1085"/>
      <c r="L42" s="908"/>
      <c r="M42" s="89"/>
      <c r="N42" s="106"/>
      <c r="O42" s="107"/>
    </row>
    <row r="43" spans="1:15"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15" s="106" customFormat="1" ht="15.75" hidden="1" customHeight="1" outlineLevel="1">
      <c r="A44" s="932"/>
      <c r="B44" s="1086"/>
      <c r="C44" s="1095"/>
      <c r="D44" s="1091"/>
      <c r="E44" s="1091"/>
      <c r="F44" s="1093"/>
      <c r="G44" s="98"/>
      <c r="H44" s="1091"/>
      <c r="I44" s="1091"/>
      <c r="J44" s="1084"/>
      <c r="K44" s="1084"/>
      <c r="L44" s="932"/>
    </row>
    <row r="45" spans="1:15" s="83" customFormat="1" ht="15.75" hidden="1" customHeight="1" outlineLevel="1">
      <c r="A45" s="926"/>
      <c r="B45" s="1087"/>
      <c r="C45" s="1096"/>
      <c r="D45" s="1092"/>
      <c r="E45" s="1092"/>
      <c r="F45" s="1094"/>
      <c r="G45" s="103"/>
      <c r="H45" s="1092"/>
      <c r="I45" s="1092"/>
      <c r="J45" s="1085"/>
      <c r="K45" s="1085"/>
      <c r="L45" s="926"/>
    </row>
    <row r="46" spans="1:15"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15" s="106" customFormat="1" ht="15.75" hidden="1" customHeight="1" outlineLevel="1">
      <c r="A47" s="932"/>
      <c r="B47" s="1086"/>
      <c r="C47" s="1095"/>
      <c r="D47" s="1091"/>
      <c r="E47" s="1091"/>
      <c r="F47" s="1093"/>
      <c r="G47" s="98"/>
      <c r="H47" s="1091"/>
      <c r="I47" s="1091"/>
      <c r="J47" s="1084"/>
      <c r="K47" s="1084"/>
      <c r="L47" s="932"/>
    </row>
    <row r="48" spans="1:15"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839"/>
      <c r="I142" s="1091"/>
      <c r="J142" s="1083"/>
      <c r="K142" s="1083"/>
      <c r="L142" s="932"/>
    </row>
    <row r="143" spans="1:12" s="106" customFormat="1" ht="15.75" hidden="1" customHeight="1" outlineLevel="1">
      <c r="A143" s="932"/>
      <c r="B143" s="1086"/>
      <c r="C143" s="1095"/>
      <c r="D143" s="1091"/>
      <c r="E143" s="1091"/>
      <c r="F143" s="1093"/>
      <c r="G143" s="98"/>
      <c r="H143" s="839"/>
      <c r="I143" s="1091"/>
      <c r="J143" s="1084"/>
      <c r="K143" s="1084"/>
      <c r="L143" s="932"/>
    </row>
    <row r="144" spans="1:12" s="106" customFormat="1" ht="15.75" hidden="1" customHeight="1" outlineLevel="1">
      <c r="A144" s="932"/>
      <c r="B144" s="1087"/>
      <c r="C144" s="1096"/>
      <c r="D144" s="1092"/>
      <c r="E144" s="1092"/>
      <c r="F144" s="1094"/>
      <c r="G144" s="103"/>
      <c r="H144" s="840"/>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839"/>
      <c r="I145" s="1091"/>
      <c r="J145" s="1083"/>
      <c r="K145" s="1083"/>
      <c r="L145" s="932"/>
    </row>
    <row r="146" spans="1:12" s="106" customFormat="1" ht="15.75" hidden="1" customHeight="1" outlineLevel="1">
      <c r="A146" s="932"/>
      <c r="B146" s="1086"/>
      <c r="C146" s="1095"/>
      <c r="D146" s="1091"/>
      <c r="E146" s="1091"/>
      <c r="F146" s="1093"/>
      <c r="G146" s="98"/>
      <c r="H146" s="839"/>
      <c r="I146" s="1091"/>
      <c r="J146" s="1084"/>
      <c r="K146" s="1084"/>
      <c r="L146" s="932"/>
    </row>
    <row r="147" spans="1:12" s="106" customFormat="1" ht="15.75" hidden="1" customHeight="1" outlineLevel="1">
      <c r="A147" s="932"/>
      <c r="B147" s="1087"/>
      <c r="C147" s="1096"/>
      <c r="D147" s="1092"/>
      <c r="E147" s="1092"/>
      <c r="F147" s="1094"/>
      <c r="G147" s="103"/>
      <c r="H147" s="840"/>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839"/>
      <c r="I148" s="1091"/>
      <c r="J148" s="1083"/>
      <c r="K148" s="1083"/>
      <c r="L148" s="932"/>
    </row>
    <row r="149" spans="1:12" s="106" customFormat="1" ht="15.75" hidden="1" customHeight="1" outlineLevel="1">
      <c r="A149" s="932"/>
      <c r="B149" s="1086"/>
      <c r="C149" s="1095"/>
      <c r="D149" s="1091"/>
      <c r="E149" s="1091"/>
      <c r="F149" s="1093"/>
      <c r="G149" s="98"/>
      <c r="H149" s="839"/>
      <c r="I149" s="1091"/>
      <c r="J149" s="1084"/>
      <c r="K149" s="1084"/>
      <c r="L149" s="932"/>
    </row>
    <row r="150" spans="1:12" s="106" customFormat="1" ht="15.75" hidden="1" customHeight="1" outlineLevel="1">
      <c r="A150" s="932"/>
      <c r="B150" s="1087"/>
      <c r="C150" s="1096"/>
      <c r="D150" s="1092"/>
      <c r="E150" s="1092"/>
      <c r="F150" s="1094"/>
      <c r="G150" s="103"/>
      <c r="H150" s="840"/>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839"/>
      <c r="I151" s="1091"/>
      <c r="J151" s="1083"/>
      <c r="K151" s="1083"/>
      <c r="L151" s="932"/>
    </row>
    <row r="152" spans="1:12" s="106" customFormat="1" ht="15.75" hidden="1" customHeight="1" outlineLevel="1">
      <c r="A152" s="932"/>
      <c r="B152" s="1086"/>
      <c r="C152" s="1095"/>
      <c r="D152" s="1091"/>
      <c r="E152" s="1091"/>
      <c r="F152" s="1093"/>
      <c r="G152" s="98"/>
      <c r="H152" s="839"/>
      <c r="I152" s="1091"/>
      <c r="J152" s="1084"/>
      <c r="K152" s="1084"/>
      <c r="L152" s="932"/>
    </row>
    <row r="153" spans="1:12" s="106" customFormat="1" ht="15.75" hidden="1" customHeight="1" outlineLevel="1">
      <c r="A153" s="932"/>
      <c r="B153" s="1087"/>
      <c r="C153" s="1096"/>
      <c r="D153" s="1092"/>
      <c r="E153" s="1092"/>
      <c r="F153" s="1094"/>
      <c r="G153" s="103"/>
      <c r="H153" s="840"/>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839"/>
      <c r="I154" s="1091"/>
      <c r="J154" s="1083"/>
      <c r="K154" s="1083"/>
      <c r="L154" s="932"/>
    </row>
    <row r="155" spans="1:12" s="106" customFormat="1" ht="15.75" hidden="1" customHeight="1" outlineLevel="1">
      <c r="A155" s="932"/>
      <c r="B155" s="1086"/>
      <c r="C155" s="1095"/>
      <c r="D155" s="1091"/>
      <c r="E155" s="1091"/>
      <c r="F155" s="1093"/>
      <c r="G155" s="98"/>
      <c r="H155" s="839"/>
      <c r="I155" s="1091"/>
      <c r="J155" s="1084"/>
      <c r="K155" s="1084"/>
      <c r="L155" s="932"/>
    </row>
    <row r="156" spans="1:12" s="106" customFormat="1" ht="15.75" hidden="1" customHeight="1" outlineLevel="1">
      <c r="A156" s="932"/>
      <c r="B156" s="1087"/>
      <c r="C156" s="1096"/>
      <c r="D156" s="1092"/>
      <c r="E156" s="1092"/>
      <c r="F156" s="1094"/>
      <c r="G156" s="103"/>
      <c r="H156" s="840"/>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839"/>
      <c r="I157" s="1091"/>
      <c r="J157" s="1083"/>
      <c r="K157" s="1083"/>
      <c r="L157" s="932"/>
    </row>
    <row r="158" spans="1:12" s="106" customFormat="1" ht="15.75" hidden="1" customHeight="1" outlineLevel="1">
      <c r="A158" s="932"/>
      <c r="B158" s="1086"/>
      <c r="C158" s="1095"/>
      <c r="D158" s="1091"/>
      <c r="E158" s="1091"/>
      <c r="F158" s="1093"/>
      <c r="G158" s="98"/>
      <c r="H158" s="839"/>
      <c r="I158" s="1091"/>
      <c r="J158" s="1084"/>
      <c r="K158" s="1084"/>
      <c r="L158" s="932"/>
    </row>
    <row r="159" spans="1:12" s="106" customFormat="1" ht="15.75" hidden="1" customHeight="1" outlineLevel="1">
      <c r="A159" s="932"/>
      <c r="B159" s="1087"/>
      <c r="C159" s="1096"/>
      <c r="D159" s="1092"/>
      <c r="E159" s="1092"/>
      <c r="F159" s="1094"/>
      <c r="G159" s="103"/>
      <c r="H159" s="840"/>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839"/>
      <c r="I160" s="1091"/>
      <c r="J160" s="1083"/>
      <c r="K160" s="1083"/>
      <c r="L160" s="932"/>
    </row>
    <row r="161" spans="1:12" s="106" customFormat="1" ht="15.75" hidden="1" customHeight="1" outlineLevel="1">
      <c r="A161" s="932"/>
      <c r="B161" s="1086"/>
      <c r="C161" s="1095"/>
      <c r="D161" s="1091"/>
      <c r="E161" s="1091"/>
      <c r="F161" s="1093"/>
      <c r="G161" s="98"/>
      <c r="H161" s="839"/>
      <c r="I161" s="1091"/>
      <c r="J161" s="1084"/>
      <c r="K161" s="1084"/>
      <c r="L161" s="932"/>
    </row>
    <row r="162" spans="1:12" s="106" customFormat="1" ht="15.75" hidden="1" customHeight="1" outlineLevel="1">
      <c r="A162" s="932"/>
      <c r="B162" s="1087"/>
      <c r="C162" s="1096"/>
      <c r="D162" s="1092"/>
      <c r="E162" s="1092"/>
      <c r="F162" s="1094"/>
      <c r="G162" s="103"/>
      <c r="H162" s="840"/>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839"/>
      <c r="I163" s="1091"/>
      <c r="J163" s="1083"/>
      <c r="K163" s="1083"/>
      <c r="L163" s="932"/>
    </row>
    <row r="164" spans="1:12" s="106" customFormat="1" ht="15.75" hidden="1" customHeight="1" outlineLevel="1">
      <c r="A164" s="932"/>
      <c r="B164" s="1086"/>
      <c r="C164" s="1095"/>
      <c r="D164" s="1091"/>
      <c r="E164" s="1091"/>
      <c r="F164" s="1093"/>
      <c r="G164" s="98"/>
      <c r="H164" s="839"/>
      <c r="I164" s="1091"/>
      <c r="J164" s="1084"/>
      <c r="K164" s="1084"/>
      <c r="L164" s="932"/>
    </row>
    <row r="165" spans="1:12" s="106" customFormat="1" ht="15.75" hidden="1" customHeight="1" outlineLevel="1">
      <c r="A165" s="932"/>
      <c r="B165" s="1087"/>
      <c r="C165" s="1096"/>
      <c r="D165" s="1092"/>
      <c r="E165" s="1092"/>
      <c r="F165" s="1094"/>
      <c r="G165" s="103"/>
      <c r="H165" s="840"/>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839"/>
      <c r="I166" s="1091"/>
      <c r="J166" s="1083"/>
      <c r="K166" s="1083"/>
      <c r="L166" s="932"/>
    </row>
    <row r="167" spans="1:12" s="106" customFormat="1" ht="15.75" hidden="1" customHeight="1" outlineLevel="1">
      <c r="A167" s="932"/>
      <c r="B167" s="1086"/>
      <c r="C167" s="1095"/>
      <c r="D167" s="1091"/>
      <c r="E167" s="1091"/>
      <c r="F167" s="1093"/>
      <c r="G167" s="98"/>
      <c r="H167" s="839"/>
      <c r="I167" s="1091"/>
      <c r="J167" s="1084"/>
      <c r="K167" s="1084"/>
      <c r="L167" s="932"/>
    </row>
    <row r="168" spans="1:12" s="106" customFormat="1" ht="15.75" hidden="1" customHeight="1" outlineLevel="1">
      <c r="A168" s="932"/>
      <c r="B168" s="1087"/>
      <c r="C168" s="1096"/>
      <c r="D168" s="1092"/>
      <c r="E168" s="1092"/>
      <c r="F168" s="1094"/>
      <c r="G168" s="103"/>
      <c r="H168" s="840"/>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839"/>
      <c r="I169" s="1091"/>
      <c r="J169" s="1083"/>
      <c r="K169" s="1083"/>
      <c r="L169" s="932"/>
    </row>
    <row r="170" spans="1:12" s="106" customFormat="1" ht="15.75" hidden="1" customHeight="1" outlineLevel="1">
      <c r="A170" s="932"/>
      <c r="B170" s="1086"/>
      <c r="C170" s="1095"/>
      <c r="D170" s="1091"/>
      <c r="E170" s="1091"/>
      <c r="F170" s="1093"/>
      <c r="G170" s="98"/>
      <c r="H170" s="839"/>
      <c r="I170" s="1091"/>
      <c r="J170" s="1084"/>
      <c r="K170" s="1084"/>
      <c r="L170" s="932"/>
    </row>
    <row r="171" spans="1:12" s="106" customFormat="1" ht="15.75" hidden="1" customHeight="1" outlineLevel="1">
      <c r="A171" s="932"/>
      <c r="B171" s="1087"/>
      <c r="C171" s="1096"/>
      <c r="D171" s="1092"/>
      <c r="E171" s="1092"/>
      <c r="F171" s="1094"/>
      <c r="G171" s="103"/>
      <c r="H171" s="840"/>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839"/>
      <c r="I172" s="1091"/>
      <c r="J172" s="1083"/>
      <c r="K172" s="1083"/>
      <c r="L172" s="932"/>
    </row>
    <row r="173" spans="1:12" s="106" customFormat="1" ht="15.75" hidden="1" customHeight="1" outlineLevel="1">
      <c r="A173" s="932"/>
      <c r="B173" s="1086"/>
      <c r="C173" s="1095"/>
      <c r="D173" s="1091"/>
      <c r="E173" s="1091"/>
      <c r="F173" s="1093"/>
      <c r="G173" s="98"/>
      <c r="H173" s="839"/>
      <c r="I173" s="1091"/>
      <c r="J173" s="1084"/>
      <c r="K173" s="1084"/>
      <c r="L173" s="932"/>
    </row>
    <row r="174" spans="1:12" s="106" customFormat="1" ht="15.75" hidden="1" customHeight="1" outlineLevel="1">
      <c r="A174" s="932"/>
      <c r="B174" s="1087"/>
      <c r="C174" s="1096"/>
      <c r="D174" s="1092"/>
      <c r="E174" s="1092"/>
      <c r="F174" s="1094"/>
      <c r="G174" s="103"/>
      <c r="H174" s="840"/>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839"/>
      <c r="I175" s="1091"/>
      <c r="J175" s="1083"/>
      <c r="K175" s="1083"/>
      <c r="L175" s="932"/>
    </row>
    <row r="176" spans="1:12" s="106" customFormat="1" ht="15.75" hidden="1" customHeight="1" outlineLevel="1">
      <c r="A176" s="932"/>
      <c r="B176" s="1086"/>
      <c r="C176" s="1095"/>
      <c r="D176" s="1091"/>
      <c r="E176" s="1091"/>
      <c r="F176" s="1093"/>
      <c r="G176" s="98"/>
      <c r="H176" s="839"/>
      <c r="I176" s="1091"/>
      <c r="J176" s="1084"/>
      <c r="K176" s="1084"/>
      <c r="L176" s="932"/>
    </row>
    <row r="177" spans="1:12" s="106" customFormat="1" ht="15.75" hidden="1" customHeight="1" outlineLevel="1">
      <c r="A177" s="932"/>
      <c r="B177" s="1087"/>
      <c r="C177" s="1096"/>
      <c r="D177" s="1092"/>
      <c r="E177" s="1092"/>
      <c r="F177" s="1094"/>
      <c r="G177" s="103"/>
      <c r="H177" s="840"/>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839"/>
      <c r="I178" s="1091"/>
      <c r="J178" s="1083"/>
      <c r="K178" s="1083"/>
      <c r="L178" s="932"/>
    </row>
    <row r="179" spans="1:12" s="106" customFormat="1" ht="15.75" hidden="1" customHeight="1" outlineLevel="1">
      <c r="A179" s="932"/>
      <c r="B179" s="1086"/>
      <c r="C179" s="1095"/>
      <c r="D179" s="1091"/>
      <c r="E179" s="1091"/>
      <c r="F179" s="1093"/>
      <c r="G179" s="98"/>
      <c r="H179" s="839"/>
      <c r="I179" s="1091"/>
      <c r="J179" s="1084"/>
      <c r="K179" s="1084"/>
      <c r="L179" s="932"/>
    </row>
    <row r="180" spans="1:12" s="106" customFormat="1" ht="15.75" hidden="1" customHeight="1" outlineLevel="1">
      <c r="A180" s="932"/>
      <c r="B180" s="1087"/>
      <c r="C180" s="1096"/>
      <c r="D180" s="1092"/>
      <c r="E180" s="1092"/>
      <c r="F180" s="1094"/>
      <c r="G180" s="103"/>
      <c r="H180" s="840"/>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839"/>
      <c r="I181" s="1091"/>
      <c r="J181" s="1083"/>
      <c r="K181" s="1083"/>
      <c r="L181" s="932"/>
    </row>
    <row r="182" spans="1:12" s="106" customFormat="1" ht="15.75" hidden="1" customHeight="1" outlineLevel="1">
      <c r="A182" s="932"/>
      <c r="B182" s="1086"/>
      <c r="C182" s="1095"/>
      <c r="D182" s="1091"/>
      <c r="E182" s="1091"/>
      <c r="F182" s="1093"/>
      <c r="G182" s="98"/>
      <c r="H182" s="839"/>
      <c r="I182" s="1091"/>
      <c r="J182" s="1084"/>
      <c r="K182" s="1084"/>
      <c r="L182" s="932"/>
    </row>
    <row r="183" spans="1:12" s="106" customFormat="1" ht="15.75" hidden="1" customHeight="1" outlineLevel="1">
      <c r="A183" s="932"/>
      <c r="B183" s="1087"/>
      <c r="C183" s="1096"/>
      <c r="D183" s="1092"/>
      <c r="E183" s="1092"/>
      <c r="F183" s="1094"/>
      <c r="G183" s="103"/>
      <c r="H183" s="840"/>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839"/>
      <c r="I184" s="1091"/>
      <c r="J184" s="1083"/>
      <c r="K184" s="1083"/>
      <c r="L184" s="932"/>
    </row>
    <row r="185" spans="1:12" s="106" customFormat="1" ht="15.75" hidden="1" customHeight="1" outlineLevel="1">
      <c r="A185" s="932"/>
      <c r="B185" s="1086"/>
      <c r="C185" s="1095"/>
      <c r="D185" s="1091"/>
      <c r="E185" s="1091"/>
      <c r="F185" s="1093"/>
      <c r="G185" s="98"/>
      <c r="H185" s="839"/>
      <c r="I185" s="1091"/>
      <c r="J185" s="1084"/>
      <c r="K185" s="1084"/>
      <c r="L185" s="932"/>
    </row>
    <row r="186" spans="1:12" s="106" customFormat="1" ht="15.75" hidden="1" customHeight="1" outlineLevel="1">
      <c r="A186" s="932"/>
      <c r="B186" s="1087"/>
      <c r="C186" s="1096"/>
      <c r="D186" s="1092"/>
      <c r="E186" s="1092"/>
      <c r="F186" s="1094"/>
      <c r="G186" s="103"/>
      <c r="H186" s="840"/>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839"/>
      <c r="I187" s="1091"/>
      <c r="J187" s="1083"/>
      <c r="K187" s="1083"/>
      <c r="L187" s="932"/>
    </row>
    <row r="188" spans="1:12" s="106" customFormat="1" ht="15.75" hidden="1" customHeight="1" outlineLevel="1">
      <c r="A188" s="932"/>
      <c r="B188" s="1086"/>
      <c r="C188" s="1095"/>
      <c r="D188" s="1091"/>
      <c r="E188" s="1091"/>
      <c r="F188" s="1093"/>
      <c r="G188" s="98"/>
      <c r="H188" s="839"/>
      <c r="I188" s="1091"/>
      <c r="J188" s="1084"/>
      <c r="K188" s="1084"/>
      <c r="L188" s="932"/>
    </row>
    <row r="189" spans="1:12" s="106" customFormat="1" ht="15.75" hidden="1" customHeight="1" outlineLevel="1">
      <c r="A189" s="932"/>
      <c r="B189" s="1087"/>
      <c r="C189" s="1096"/>
      <c r="D189" s="1092"/>
      <c r="E189" s="1092"/>
      <c r="F189" s="1094"/>
      <c r="G189" s="103"/>
      <c r="H189" s="840"/>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839"/>
      <c r="I190" s="1091"/>
      <c r="J190" s="1083"/>
      <c r="K190" s="1083"/>
      <c r="L190" s="932"/>
    </row>
    <row r="191" spans="1:12" s="106" customFormat="1" ht="15.75" hidden="1" customHeight="1" outlineLevel="1">
      <c r="A191" s="932"/>
      <c r="B191" s="1086"/>
      <c r="C191" s="1095"/>
      <c r="D191" s="1091"/>
      <c r="E191" s="1091"/>
      <c r="F191" s="1093"/>
      <c r="G191" s="98"/>
      <c r="H191" s="839"/>
      <c r="I191" s="1091"/>
      <c r="J191" s="1084"/>
      <c r="K191" s="1084"/>
      <c r="L191" s="932"/>
    </row>
    <row r="192" spans="1:12" s="106" customFormat="1" ht="15.75" hidden="1" customHeight="1" outlineLevel="1">
      <c r="A192" s="932"/>
      <c r="B192" s="1087"/>
      <c r="C192" s="1096"/>
      <c r="D192" s="1092"/>
      <c r="E192" s="1092"/>
      <c r="F192" s="1094"/>
      <c r="G192" s="103"/>
      <c r="H192" s="840"/>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839"/>
      <c r="I193" s="1091"/>
      <c r="J193" s="1083"/>
      <c r="K193" s="1083"/>
      <c r="L193" s="932"/>
    </row>
    <row r="194" spans="1:12" s="106" customFormat="1" ht="15.75" hidden="1" customHeight="1" outlineLevel="1">
      <c r="A194" s="932"/>
      <c r="B194" s="1086"/>
      <c r="C194" s="1095"/>
      <c r="D194" s="1091"/>
      <c r="E194" s="1091"/>
      <c r="F194" s="1093"/>
      <c r="G194" s="98"/>
      <c r="H194" s="839"/>
      <c r="I194" s="1091"/>
      <c r="J194" s="1084"/>
      <c r="K194" s="1084"/>
      <c r="L194" s="932"/>
    </row>
    <row r="195" spans="1:12" s="106" customFormat="1" ht="15.75" hidden="1" customHeight="1" outlineLevel="1">
      <c r="A195" s="932"/>
      <c r="B195" s="1087"/>
      <c r="C195" s="1096"/>
      <c r="D195" s="1092"/>
      <c r="E195" s="1092"/>
      <c r="F195" s="1094"/>
      <c r="G195" s="103"/>
      <c r="H195" s="840"/>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839"/>
      <c r="I196" s="1091"/>
      <c r="J196" s="1083"/>
      <c r="K196" s="1083"/>
      <c r="L196" s="932"/>
    </row>
    <row r="197" spans="1:12" s="106" customFormat="1" ht="15.75" hidden="1" customHeight="1" outlineLevel="1">
      <c r="A197" s="932"/>
      <c r="B197" s="1086"/>
      <c r="C197" s="1095"/>
      <c r="D197" s="1091"/>
      <c r="E197" s="1091"/>
      <c r="F197" s="1093"/>
      <c r="G197" s="98"/>
      <c r="H197" s="839"/>
      <c r="I197" s="1091"/>
      <c r="J197" s="1084"/>
      <c r="K197" s="1084"/>
      <c r="L197" s="932"/>
    </row>
    <row r="198" spans="1:12" s="106" customFormat="1" ht="15.75" hidden="1" customHeight="1" outlineLevel="1">
      <c r="A198" s="932"/>
      <c r="B198" s="1087"/>
      <c r="C198" s="1096"/>
      <c r="D198" s="1092"/>
      <c r="E198" s="1092"/>
      <c r="F198" s="1094"/>
      <c r="G198" s="103"/>
      <c r="H198" s="840"/>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839"/>
      <c r="I199" s="1091"/>
      <c r="J199" s="1083"/>
      <c r="K199" s="1083"/>
      <c r="L199" s="932"/>
    </row>
    <row r="200" spans="1:12" s="106" customFormat="1" ht="15.75" hidden="1" customHeight="1" outlineLevel="1">
      <c r="A200" s="932"/>
      <c r="B200" s="1086"/>
      <c r="C200" s="1095"/>
      <c r="D200" s="1091"/>
      <c r="E200" s="1091"/>
      <c r="F200" s="1093"/>
      <c r="G200" s="98"/>
      <c r="H200" s="839"/>
      <c r="I200" s="1091"/>
      <c r="J200" s="1084"/>
      <c r="K200" s="1084"/>
      <c r="L200" s="932"/>
    </row>
    <row r="201" spans="1:12" s="106" customFormat="1" ht="15.75" hidden="1" customHeight="1" outlineLevel="1">
      <c r="A201" s="932"/>
      <c r="B201" s="1087"/>
      <c r="C201" s="1096"/>
      <c r="D201" s="1092"/>
      <c r="E201" s="1092"/>
      <c r="F201" s="1094"/>
      <c r="G201" s="103"/>
      <c r="H201" s="840"/>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839"/>
      <c r="I202" s="1091"/>
      <c r="J202" s="1083"/>
      <c r="K202" s="1083"/>
      <c r="L202" s="932"/>
    </row>
    <row r="203" spans="1:12" s="106" customFormat="1" ht="15.75" hidden="1" customHeight="1" outlineLevel="1">
      <c r="A203" s="932"/>
      <c r="B203" s="1086"/>
      <c r="C203" s="1095"/>
      <c r="D203" s="1091"/>
      <c r="E203" s="1091"/>
      <c r="F203" s="1093"/>
      <c r="G203" s="98"/>
      <c r="H203" s="839"/>
      <c r="I203" s="1091"/>
      <c r="J203" s="1084"/>
      <c r="K203" s="1084"/>
      <c r="L203" s="932"/>
    </row>
    <row r="204" spans="1:12" s="106" customFormat="1" ht="15.75" hidden="1" customHeight="1" outlineLevel="1">
      <c r="A204" s="932"/>
      <c r="B204" s="1087"/>
      <c r="C204" s="1096"/>
      <c r="D204" s="1092"/>
      <c r="E204" s="1092"/>
      <c r="F204" s="1094"/>
      <c r="G204" s="103"/>
      <c r="H204" s="840"/>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839"/>
      <c r="I205" s="1091"/>
      <c r="J205" s="1083"/>
      <c r="K205" s="1083"/>
      <c r="L205" s="932"/>
    </row>
    <row r="206" spans="1:12" s="106" customFormat="1" ht="15.75" hidden="1" customHeight="1" outlineLevel="1">
      <c r="A206" s="932"/>
      <c r="B206" s="1086"/>
      <c r="C206" s="1095"/>
      <c r="D206" s="1091"/>
      <c r="E206" s="1091"/>
      <c r="F206" s="1093"/>
      <c r="G206" s="98"/>
      <c r="H206" s="839"/>
      <c r="I206" s="1091"/>
      <c r="J206" s="1084"/>
      <c r="K206" s="1084"/>
      <c r="L206" s="932"/>
    </row>
    <row r="207" spans="1:12" s="106" customFormat="1" ht="15.75" hidden="1" customHeight="1" outlineLevel="1">
      <c r="A207" s="932"/>
      <c r="B207" s="1087"/>
      <c r="C207" s="1096"/>
      <c r="D207" s="1092"/>
      <c r="E207" s="1092"/>
      <c r="F207" s="1094"/>
      <c r="G207" s="103"/>
      <c r="H207" s="840"/>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839"/>
      <c r="I208" s="1091"/>
      <c r="J208" s="1083"/>
      <c r="K208" s="1083"/>
      <c r="L208" s="932"/>
    </row>
    <row r="209" spans="1:12" s="106" customFormat="1" ht="15.75" hidden="1" customHeight="1" outlineLevel="1">
      <c r="A209" s="932"/>
      <c r="B209" s="1086"/>
      <c r="C209" s="1095"/>
      <c r="D209" s="1091"/>
      <c r="E209" s="1091"/>
      <c r="F209" s="1093"/>
      <c r="G209" s="98"/>
      <c r="H209" s="839"/>
      <c r="I209" s="1091"/>
      <c r="J209" s="1084"/>
      <c r="K209" s="1084"/>
      <c r="L209" s="932"/>
    </row>
    <row r="210" spans="1:12" s="106" customFormat="1" ht="15.75" hidden="1" customHeight="1" outlineLevel="1">
      <c r="A210" s="932"/>
      <c r="B210" s="1087"/>
      <c r="C210" s="1096"/>
      <c r="D210" s="1092"/>
      <c r="E210" s="1092"/>
      <c r="F210" s="1094"/>
      <c r="G210" s="103"/>
      <c r="H210" s="840"/>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839"/>
      <c r="I211" s="1091"/>
      <c r="J211" s="1083"/>
      <c r="K211" s="1083"/>
      <c r="L211" s="932"/>
    </row>
    <row r="212" spans="1:12" s="106" customFormat="1" ht="15.75" hidden="1" customHeight="1" outlineLevel="1">
      <c r="A212" s="932"/>
      <c r="B212" s="1086"/>
      <c r="C212" s="1095"/>
      <c r="D212" s="1091"/>
      <c r="E212" s="1091"/>
      <c r="F212" s="1093"/>
      <c r="G212" s="98"/>
      <c r="H212" s="839"/>
      <c r="I212" s="1091"/>
      <c r="J212" s="1084"/>
      <c r="K212" s="1084"/>
      <c r="L212" s="932"/>
    </row>
    <row r="213" spans="1:12" s="106" customFormat="1" ht="15.75" hidden="1" customHeight="1" outlineLevel="1">
      <c r="A213" s="932"/>
      <c r="B213" s="1087"/>
      <c r="C213" s="1096"/>
      <c r="D213" s="1092"/>
      <c r="E213" s="1092"/>
      <c r="F213" s="1094"/>
      <c r="G213" s="103"/>
      <c r="H213" s="840"/>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839"/>
      <c r="I214" s="1091"/>
      <c r="J214" s="1083"/>
      <c r="K214" s="1083"/>
      <c r="L214" s="932"/>
    </row>
    <row r="215" spans="1:12" s="106" customFormat="1" ht="15.75" hidden="1" customHeight="1" outlineLevel="1">
      <c r="A215" s="932"/>
      <c r="B215" s="1086"/>
      <c r="C215" s="1095"/>
      <c r="D215" s="1091"/>
      <c r="E215" s="1091"/>
      <c r="F215" s="1093"/>
      <c r="G215" s="98"/>
      <c r="H215" s="839"/>
      <c r="I215" s="1091"/>
      <c r="J215" s="1084"/>
      <c r="K215" s="1084"/>
      <c r="L215" s="932"/>
    </row>
    <row r="216" spans="1:12" s="106" customFormat="1" ht="15.75" hidden="1" customHeight="1" outlineLevel="1">
      <c r="A216" s="932"/>
      <c r="B216" s="1087"/>
      <c r="C216" s="1096"/>
      <c r="D216" s="1092"/>
      <c r="E216" s="1092"/>
      <c r="F216" s="1094"/>
      <c r="G216" s="103"/>
      <c r="H216" s="840"/>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839"/>
      <c r="I217" s="1091"/>
      <c r="J217" s="1083"/>
      <c r="K217" s="1083"/>
      <c r="L217" s="932"/>
    </row>
    <row r="218" spans="1:12" s="106" customFormat="1" ht="15.75" hidden="1" customHeight="1" outlineLevel="1">
      <c r="A218" s="932"/>
      <c r="B218" s="1086"/>
      <c r="C218" s="1095"/>
      <c r="D218" s="1091"/>
      <c r="E218" s="1091"/>
      <c r="F218" s="1093"/>
      <c r="G218" s="98"/>
      <c r="H218" s="839"/>
      <c r="I218" s="1091"/>
      <c r="J218" s="1084"/>
      <c r="K218" s="1084"/>
      <c r="L218" s="932"/>
    </row>
    <row r="219" spans="1:12" s="106" customFormat="1" ht="15.75" hidden="1" customHeight="1" outlineLevel="1">
      <c r="A219" s="932"/>
      <c r="B219" s="1087"/>
      <c r="C219" s="1096"/>
      <c r="D219" s="1092"/>
      <c r="E219" s="1092"/>
      <c r="F219" s="1094"/>
      <c r="G219" s="103"/>
      <c r="H219" s="840"/>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839"/>
      <c r="I220" s="1091"/>
      <c r="J220" s="1083"/>
      <c r="K220" s="1083"/>
      <c r="L220" s="932"/>
    </row>
    <row r="221" spans="1:12" s="106" customFormat="1" ht="15.75" hidden="1" customHeight="1" outlineLevel="1">
      <c r="A221" s="932"/>
      <c r="B221" s="1086"/>
      <c r="C221" s="1095"/>
      <c r="D221" s="1091"/>
      <c r="E221" s="1091"/>
      <c r="F221" s="1093"/>
      <c r="G221" s="98"/>
      <c r="H221" s="839"/>
      <c r="I221" s="1091"/>
      <c r="J221" s="1084"/>
      <c r="K221" s="1084"/>
      <c r="L221" s="932"/>
    </row>
    <row r="222" spans="1:12" s="106" customFormat="1" ht="15.75" hidden="1" customHeight="1" outlineLevel="1">
      <c r="A222" s="932"/>
      <c r="B222" s="1087"/>
      <c r="C222" s="1096"/>
      <c r="D222" s="1092"/>
      <c r="E222" s="1092"/>
      <c r="F222" s="1094"/>
      <c r="G222" s="103"/>
      <c r="H222" s="840"/>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839"/>
      <c r="I223" s="1091"/>
      <c r="J223" s="1083"/>
      <c r="K223" s="1083"/>
      <c r="L223" s="932"/>
    </row>
    <row r="224" spans="1:12" s="106" customFormat="1" ht="15.75" hidden="1" customHeight="1" outlineLevel="1">
      <c r="A224" s="932"/>
      <c r="B224" s="1086"/>
      <c r="C224" s="1095"/>
      <c r="D224" s="1091"/>
      <c r="E224" s="1091"/>
      <c r="F224" s="1093"/>
      <c r="G224" s="98"/>
      <c r="H224" s="839"/>
      <c r="I224" s="1091"/>
      <c r="J224" s="1084"/>
      <c r="K224" s="1084"/>
      <c r="L224" s="932"/>
    </row>
    <row r="225" spans="1:12" s="106" customFormat="1" ht="15.75" hidden="1" customHeight="1" outlineLevel="1">
      <c r="A225" s="932"/>
      <c r="B225" s="1087"/>
      <c r="C225" s="1096"/>
      <c r="D225" s="1092"/>
      <c r="E225" s="1092"/>
      <c r="F225" s="1094"/>
      <c r="G225" s="103"/>
      <c r="H225" s="840"/>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839"/>
      <c r="I226" s="1091"/>
      <c r="J226" s="1083"/>
      <c r="K226" s="1083"/>
      <c r="L226" s="932"/>
    </row>
    <row r="227" spans="1:12" s="106" customFormat="1" ht="15.75" hidden="1" customHeight="1" outlineLevel="1">
      <c r="A227" s="932"/>
      <c r="B227" s="1086"/>
      <c r="C227" s="1095"/>
      <c r="D227" s="1091"/>
      <c r="E227" s="1091"/>
      <c r="F227" s="1093"/>
      <c r="G227" s="98"/>
      <c r="H227" s="839"/>
      <c r="I227" s="1091"/>
      <c r="J227" s="1084"/>
      <c r="K227" s="1084"/>
      <c r="L227" s="932"/>
    </row>
    <row r="228" spans="1:12" s="106" customFormat="1" ht="15.75" hidden="1" customHeight="1" outlineLevel="1">
      <c r="A228" s="932"/>
      <c r="B228" s="1087"/>
      <c r="C228" s="1096"/>
      <c r="D228" s="1092"/>
      <c r="E228" s="1092"/>
      <c r="F228" s="1094"/>
      <c r="G228" s="103"/>
      <c r="H228" s="840"/>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839"/>
      <c r="I229" s="1091"/>
      <c r="J229" s="1083"/>
      <c r="K229" s="1083"/>
      <c r="L229" s="932"/>
    </row>
    <row r="230" spans="1:12" s="106" customFormat="1" ht="15.75" hidden="1" customHeight="1" outlineLevel="1">
      <c r="A230" s="932"/>
      <c r="B230" s="1086"/>
      <c r="C230" s="1095"/>
      <c r="D230" s="1091"/>
      <c r="E230" s="1091"/>
      <c r="F230" s="1093"/>
      <c r="G230" s="98"/>
      <c r="H230" s="839"/>
      <c r="I230" s="1091"/>
      <c r="J230" s="1084"/>
      <c r="K230" s="1084"/>
      <c r="L230" s="932"/>
    </row>
    <row r="231" spans="1:12" s="106" customFormat="1" ht="15.75" hidden="1" customHeight="1" outlineLevel="1">
      <c r="A231" s="932"/>
      <c r="B231" s="1087"/>
      <c r="C231" s="1096"/>
      <c r="D231" s="1092"/>
      <c r="E231" s="1092"/>
      <c r="F231" s="1094"/>
      <c r="G231" s="103"/>
      <c r="H231" s="840"/>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839"/>
      <c r="I232" s="1091"/>
      <c r="J232" s="1083"/>
      <c r="K232" s="1083"/>
      <c r="L232" s="932"/>
    </row>
    <row r="233" spans="1:12" s="106" customFormat="1" ht="15.75" hidden="1" customHeight="1" outlineLevel="1">
      <c r="A233" s="932"/>
      <c r="B233" s="1086"/>
      <c r="C233" s="1095"/>
      <c r="D233" s="1091"/>
      <c r="E233" s="1091"/>
      <c r="F233" s="1093"/>
      <c r="G233" s="98"/>
      <c r="H233" s="839"/>
      <c r="I233" s="1091"/>
      <c r="J233" s="1084"/>
      <c r="K233" s="1084"/>
      <c r="L233" s="932"/>
    </row>
    <row r="234" spans="1:12" s="106" customFormat="1" ht="15.75" hidden="1" customHeight="1" outlineLevel="1">
      <c r="A234" s="932"/>
      <c r="B234" s="1087"/>
      <c r="C234" s="1096"/>
      <c r="D234" s="1092"/>
      <c r="E234" s="1092"/>
      <c r="F234" s="1094"/>
      <c r="G234" s="103"/>
      <c r="H234" s="840"/>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839"/>
      <c r="I235" s="1091"/>
      <c r="J235" s="1083"/>
      <c r="K235" s="1083"/>
      <c r="L235" s="932"/>
    </row>
    <row r="236" spans="1:12" s="106" customFormat="1" ht="15.75" hidden="1" customHeight="1" outlineLevel="1">
      <c r="A236" s="932"/>
      <c r="B236" s="1086"/>
      <c r="C236" s="1095"/>
      <c r="D236" s="1091"/>
      <c r="E236" s="1091"/>
      <c r="F236" s="1093"/>
      <c r="G236" s="98"/>
      <c r="H236" s="839"/>
      <c r="I236" s="1091"/>
      <c r="J236" s="1084"/>
      <c r="K236" s="1084"/>
      <c r="L236" s="932"/>
    </row>
    <row r="237" spans="1:12" s="106" customFormat="1" ht="15.75" hidden="1" customHeight="1" outlineLevel="1">
      <c r="A237" s="932"/>
      <c r="B237" s="1087"/>
      <c r="C237" s="1096"/>
      <c r="D237" s="1092"/>
      <c r="E237" s="1092"/>
      <c r="F237" s="1094"/>
      <c r="G237" s="103"/>
      <c r="H237" s="840"/>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839"/>
      <c r="I238" s="1091"/>
      <c r="J238" s="1083"/>
      <c r="K238" s="1083"/>
      <c r="L238" s="932"/>
    </row>
    <row r="239" spans="1:12" s="106" customFormat="1" ht="15.75" hidden="1" customHeight="1" outlineLevel="1">
      <c r="A239" s="932"/>
      <c r="B239" s="1086"/>
      <c r="C239" s="1095"/>
      <c r="D239" s="1091"/>
      <c r="E239" s="1091"/>
      <c r="F239" s="1093"/>
      <c r="G239" s="98"/>
      <c r="H239" s="839"/>
      <c r="I239" s="1091"/>
      <c r="J239" s="1084"/>
      <c r="K239" s="1084"/>
      <c r="L239" s="932"/>
    </row>
    <row r="240" spans="1:12" s="106" customFormat="1" ht="15.75" hidden="1" customHeight="1" outlineLevel="1">
      <c r="A240" s="932"/>
      <c r="B240" s="1087"/>
      <c r="C240" s="1096"/>
      <c r="D240" s="1092"/>
      <c r="E240" s="1092"/>
      <c r="F240" s="1094"/>
      <c r="G240" s="103"/>
      <c r="H240" s="840"/>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839"/>
      <c r="I241" s="1091"/>
      <c r="J241" s="1083"/>
      <c r="K241" s="1083"/>
      <c r="L241" s="932"/>
    </row>
    <row r="242" spans="1:12" s="106" customFormat="1" ht="15.75" hidden="1" customHeight="1" outlineLevel="1">
      <c r="A242" s="932"/>
      <c r="B242" s="1086"/>
      <c r="C242" s="1095"/>
      <c r="D242" s="1091"/>
      <c r="E242" s="1091"/>
      <c r="F242" s="1093"/>
      <c r="G242" s="98"/>
      <c r="H242" s="839"/>
      <c r="I242" s="1091"/>
      <c r="J242" s="1084"/>
      <c r="K242" s="1084"/>
      <c r="L242" s="932"/>
    </row>
    <row r="243" spans="1:12" s="106" customFormat="1" ht="15.75" hidden="1" customHeight="1" outlineLevel="1">
      <c r="A243" s="932"/>
      <c r="B243" s="1087"/>
      <c r="C243" s="1096"/>
      <c r="D243" s="1092"/>
      <c r="E243" s="1092"/>
      <c r="F243" s="1094"/>
      <c r="G243" s="103"/>
      <c r="H243" s="840"/>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839"/>
      <c r="I244" s="1091"/>
      <c r="J244" s="1083"/>
      <c r="K244" s="1083"/>
      <c r="L244" s="932"/>
    </row>
    <row r="245" spans="1:12" s="106" customFormat="1" ht="15.75" hidden="1" customHeight="1" outlineLevel="1">
      <c r="A245" s="932"/>
      <c r="B245" s="1086"/>
      <c r="C245" s="1095"/>
      <c r="D245" s="1091"/>
      <c r="E245" s="1091"/>
      <c r="F245" s="1093"/>
      <c r="G245" s="98"/>
      <c r="H245" s="839"/>
      <c r="I245" s="1091"/>
      <c r="J245" s="1084"/>
      <c r="K245" s="1084"/>
      <c r="L245" s="932"/>
    </row>
    <row r="246" spans="1:12" s="106" customFormat="1" ht="15.75" hidden="1" customHeight="1" outlineLevel="1">
      <c r="A246" s="932"/>
      <c r="B246" s="1087"/>
      <c r="C246" s="1096"/>
      <c r="D246" s="1092"/>
      <c r="E246" s="1092"/>
      <c r="F246" s="1094"/>
      <c r="G246" s="103"/>
      <c r="H246" s="840"/>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839"/>
      <c r="I247" s="1091"/>
      <c r="J247" s="1083"/>
      <c r="K247" s="1083"/>
      <c r="L247" s="932"/>
    </row>
    <row r="248" spans="1:12" s="106" customFormat="1" ht="15.75" hidden="1" customHeight="1" outlineLevel="1">
      <c r="A248" s="932"/>
      <c r="B248" s="1086"/>
      <c r="C248" s="1095"/>
      <c r="D248" s="1091"/>
      <c r="E248" s="1091"/>
      <c r="F248" s="1093"/>
      <c r="G248" s="98"/>
      <c r="H248" s="839"/>
      <c r="I248" s="1091"/>
      <c r="J248" s="1084"/>
      <c r="K248" s="1084"/>
      <c r="L248" s="932"/>
    </row>
    <row r="249" spans="1:12" s="106" customFormat="1" ht="15.75" hidden="1" customHeight="1" outlineLevel="1">
      <c r="A249" s="932"/>
      <c r="B249" s="1087"/>
      <c r="C249" s="1096"/>
      <c r="D249" s="1092"/>
      <c r="E249" s="1092"/>
      <c r="F249" s="1094"/>
      <c r="G249" s="103"/>
      <c r="H249" s="840"/>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839"/>
      <c r="I250" s="1091"/>
      <c r="J250" s="1083"/>
      <c r="K250" s="1083"/>
      <c r="L250" s="932"/>
    </row>
    <row r="251" spans="1:12" s="106" customFormat="1" ht="15.75" hidden="1" customHeight="1" outlineLevel="1">
      <c r="A251" s="932"/>
      <c r="B251" s="1086"/>
      <c r="C251" s="1095"/>
      <c r="D251" s="1091"/>
      <c r="E251" s="1091"/>
      <c r="F251" s="1093"/>
      <c r="G251" s="98"/>
      <c r="H251" s="839"/>
      <c r="I251" s="1091"/>
      <c r="J251" s="1084"/>
      <c r="K251" s="1084"/>
      <c r="L251" s="932"/>
    </row>
    <row r="252" spans="1:12" s="106" customFormat="1" ht="15.75" hidden="1" customHeight="1" outlineLevel="1">
      <c r="A252" s="932"/>
      <c r="B252" s="1087"/>
      <c r="C252" s="1096"/>
      <c r="D252" s="1092"/>
      <c r="E252" s="1092"/>
      <c r="F252" s="1094"/>
      <c r="G252" s="103"/>
      <c r="H252" s="840"/>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839"/>
      <c r="I253" s="1091"/>
      <c r="J253" s="1083"/>
      <c r="K253" s="1083"/>
      <c r="L253" s="932"/>
    </row>
    <row r="254" spans="1:12" s="106" customFormat="1" ht="15.75" hidden="1" customHeight="1" outlineLevel="1">
      <c r="A254" s="932"/>
      <c r="B254" s="1086"/>
      <c r="C254" s="1095"/>
      <c r="D254" s="1091"/>
      <c r="E254" s="1091"/>
      <c r="F254" s="1093"/>
      <c r="G254" s="98"/>
      <c r="H254" s="839"/>
      <c r="I254" s="1091"/>
      <c r="J254" s="1084"/>
      <c r="K254" s="1084"/>
      <c r="L254" s="932"/>
    </row>
    <row r="255" spans="1:12" s="106" customFormat="1" ht="15.75" hidden="1" customHeight="1" outlineLevel="1">
      <c r="A255" s="932"/>
      <c r="B255" s="1087"/>
      <c r="C255" s="1096"/>
      <c r="D255" s="1092"/>
      <c r="E255" s="1092"/>
      <c r="F255" s="1094"/>
      <c r="G255" s="103"/>
      <c r="H255" s="840"/>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839"/>
      <c r="I256" s="1091"/>
      <c r="J256" s="1083"/>
      <c r="K256" s="1083"/>
      <c r="L256" s="932"/>
    </row>
    <row r="257" spans="1:12" s="106" customFormat="1" ht="15.75" hidden="1" customHeight="1" outlineLevel="1">
      <c r="A257" s="932"/>
      <c r="B257" s="1086"/>
      <c r="C257" s="1095"/>
      <c r="D257" s="1091"/>
      <c r="E257" s="1091"/>
      <c r="F257" s="1093"/>
      <c r="G257" s="98"/>
      <c r="H257" s="839"/>
      <c r="I257" s="1091"/>
      <c r="J257" s="1084"/>
      <c r="K257" s="1084"/>
      <c r="L257" s="932"/>
    </row>
    <row r="258" spans="1:12" s="106" customFormat="1" ht="15.75" hidden="1" customHeight="1" outlineLevel="1">
      <c r="A258" s="932"/>
      <c r="B258" s="1087"/>
      <c r="C258" s="1096"/>
      <c r="D258" s="1092"/>
      <c r="E258" s="1092"/>
      <c r="F258" s="1094"/>
      <c r="G258" s="103"/>
      <c r="H258" s="840"/>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839"/>
      <c r="I259" s="1091"/>
      <c r="J259" s="1083"/>
      <c r="K259" s="1083"/>
      <c r="L259" s="932"/>
    </row>
    <row r="260" spans="1:12" s="106" customFormat="1" ht="15.75" hidden="1" customHeight="1" outlineLevel="1">
      <c r="A260" s="932"/>
      <c r="B260" s="1086"/>
      <c r="C260" s="1095"/>
      <c r="D260" s="1091"/>
      <c r="E260" s="1091"/>
      <c r="F260" s="1093"/>
      <c r="G260" s="98"/>
      <c r="H260" s="839"/>
      <c r="I260" s="1091"/>
      <c r="J260" s="1084"/>
      <c r="K260" s="1084"/>
      <c r="L260" s="932"/>
    </row>
    <row r="261" spans="1:12" s="106" customFormat="1" ht="15.75" hidden="1" customHeight="1" outlineLevel="1">
      <c r="A261" s="932"/>
      <c r="B261" s="1087"/>
      <c r="C261" s="1096"/>
      <c r="D261" s="1092"/>
      <c r="E261" s="1092"/>
      <c r="F261" s="1094"/>
      <c r="G261" s="103"/>
      <c r="H261" s="840"/>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839"/>
      <c r="I262" s="1091"/>
      <c r="J262" s="1083"/>
      <c r="K262" s="1083"/>
      <c r="L262" s="932"/>
    </row>
    <row r="263" spans="1:12" s="106" customFormat="1" ht="15.75" hidden="1" customHeight="1" outlineLevel="1">
      <c r="A263" s="932"/>
      <c r="B263" s="1086"/>
      <c r="C263" s="1095"/>
      <c r="D263" s="1091"/>
      <c r="E263" s="1091"/>
      <c r="F263" s="1093"/>
      <c r="G263" s="98"/>
      <c r="H263" s="839"/>
      <c r="I263" s="1091"/>
      <c r="J263" s="1084"/>
      <c r="K263" s="1084"/>
      <c r="L263" s="932"/>
    </row>
    <row r="264" spans="1:12" s="106" customFormat="1" ht="15.75" hidden="1" customHeight="1" outlineLevel="1">
      <c r="A264" s="932"/>
      <c r="B264" s="1087"/>
      <c r="C264" s="1096"/>
      <c r="D264" s="1092"/>
      <c r="E264" s="1092"/>
      <c r="F264" s="1094"/>
      <c r="G264" s="103"/>
      <c r="H264" s="840"/>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839"/>
      <c r="I265" s="1091"/>
      <c r="J265" s="1083"/>
      <c r="K265" s="1083"/>
      <c r="L265" s="932"/>
    </row>
    <row r="266" spans="1:12" s="106" customFormat="1" ht="15.75" hidden="1" customHeight="1" outlineLevel="1">
      <c r="A266" s="932"/>
      <c r="B266" s="1086"/>
      <c r="C266" s="1095"/>
      <c r="D266" s="1091"/>
      <c r="E266" s="1091"/>
      <c r="F266" s="1093"/>
      <c r="G266" s="98"/>
      <c r="H266" s="839"/>
      <c r="I266" s="1091"/>
      <c r="J266" s="1084"/>
      <c r="K266" s="1084"/>
      <c r="L266" s="932"/>
    </row>
    <row r="267" spans="1:12" s="106" customFormat="1" ht="15.75" hidden="1" customHeight="1" outlineLevel="1">
      <c r="A267" s="932"/>
      <c r="B267" s="1087"/>
      <c r="C267" s="1096"/>
      <c r="D267" s="1092"/>
      <c r="E267" s="1092"/>
      <c r="F267" s="1094"/>
      <c r="G267" s="103"/>
      <c r="H267" s="840"/>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839"/>
      <c r="I268" s="1091"/>
      <c r="J268" s="1083"/>
      <c r="K268" s="1083"/>
      <c r="L268" s="932"/>
    </row>
    <row r="269" spans="1:12" s="106" customFormat="1" ht="15.75" hidden="1" customHeight="1" outlineLevel="1">
      <c r="A269" s="932"/>
      <c r="B269" s="1086"/>
      <c r="C269" s="1095"/>
      <c r="D269" s="1091"/>
      <c r="E269" s="1091"/>
      <c r="F269" s="1093"/>
      <c r="G269" s="98"/>
      <c r="H269" s="839"/>
      <c r="I269" s="1091"/>
      <c r="J269" s="1084"/>
      <c r="K269" s="1084"/>
      <c r="L269" s="932"/>
    </row>
    <row r="270" spans="1:12" s="106" customFormat="1" ht="15.75" hidden="1" customHeight="1" outlineLevel="1">
      <c r="A270" s="932"/>
      <c r="B270" s="1087"/>
      <c r="C270" s="1096"/>
      <c r="D270" s="1092"/>
      <c r="E270" s="1092"/>
      <c r="F270" s="1094"/>
      <c r="G270" s="103"/>
      <c r="H270" s="840"/>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839"/>
      <c r="I271" s="1091"/>
      <c r="J271" s="1083"/>
      <c r="K271" s="1083"/>
      <c r="L271" s="932"/>
    </row>
    <row r="272" spans="1:12" s="106" customFormat="1" ht="15.75" hidden="1" customHeight="1" outlineLevel="1">
      <c r="A272" s="932"/>
      <c r="B272" s="1086"/>
      <c r="C272" s="1095"/>
      <c r="D272" s="1091"/>
      <c r="E272" s="1091"/>
      <c r="F272" s="1093"/>
      <c r="G272" s="98"/>
      <c r="H272" s="839"/>
      <c r="I272" s="1091"/>
      <c r="J272" s="1084"/>
      <c r="K272" s="1084"/>
      <c r="L272" s="932"/>
    </row>
    <row r="273" spans="1:12" s="106" customFormat="1" ht="15.75" hidden="1" customHeight="1" outlineLevel="1">
      <c r="A273" s="932"/>
      <c r="B273" s="1087"/>
      <c r="C273" s="1096"/>
      <c r="D273" s="1092"/>
      <c r="E273" s="1092"/>
      <c r="F273" s="1094"/>
      <c r="G273" s="103"/>
      <c r="H273" s="840"/>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839"/>
      <c r="I274" s="1091"/>
      <c r="J274" s="1083"/>
      <c r="K274" s="1083"/>
      <c r="L274" s="932"/>
    </row>
    <row r="275" spans="1:12" s="106" customFormat="1" ht="15.75" hidden="1" customHeight="1" outlineLevel="1">
      <c r="A275" s="932"/>
      <c r="B275" s="1086"/>
      <c r="C275" s="1095"/>
      <c r="D275" s="1091"/>
      <c r="E275" s="1091"/>
      <c r="F275" s="1093"/>
      <c r="G275" s="98"/>
      <c r="H275" s="839"/>
      <c r="I275" s="1091"/>
      <c r="J275" s="1084"/>
      <c r="K275" s="1084"/>
      <c r="L275" s="932"/>
    </row>
    <row r="276" spans="1:12" s="106" customFormat="1" ht="15.75" hidden="1" customHeight="1" outlineLevel="1">
      <c r="A276" s="932"/>
      <c r="B276" s="1087"/>
      <c r="C276" s="1096"/>
      <c r="D276" s="1092"/>
      <c r="E276" s="1092"/>
      <c r="F276" s="1094"/>
      <c r="G276" s="103"/>
      <c r="H276" s="840"/>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839"/>
      <c r="I277" s="1091"/>
      <c r="J277" s="1083"/>
      <c r="K277" s="1083"/>
      <c r="L277" s="932"/>
    </row>
    <row r="278" spans="1:12" s="106" customFormat="1" ht="15.75" hidden="1" customHeight="1" outlineLevel="1">
      <c r="A278" s="932"/>
      <c r="B278" s="1086"/>
      <c r="C278" s="1095"/>
      <c r="D278" s="1091"/>
      <c r="E278" s="1091"/>
      <c r="F278" s="1093"/>
      <c r="G278" s="98"/>
      <c r="H278" s="839"/>
      <c r="I278" s="1091"/>
      <c r="J278" s="1084"/>
      <c r="K278" s="1084"/>
      <c r="L278" s="932"/>
    </row>
    <row r="279" spans="1:12" s="106" customFormat="1" ht="15.75" hidden="1" customHeight="1" outlineLevel="1">
      <c r="A279" s="932"/>
      <c r="B279" s="1087"/>
      <c r="C279" s="1096"/>
      <c r="D279" s="1092"/>
      <c r="E279" s="1092"/>
      <c r="F279" s="1094"/>
      <c r="G279" s="103"/>
      <c r="H279" s="840"/>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839"/>
      <c r="I280" s="1091"/>
      <c r="J280" s="1083"/>
      <c r="K280" s="1083"/>
      <c r="L280" s="932"/>
    </row>
    <row r="281" spans="1:12" s="106" customFormat="1" ht="15.75" hidden="1" customHeight="1" outlineLevel="1">
      <c r="A281" s="932"/>
      <c r="B281" s="1086"/>
      <c r="C281" s="1095"/>
      <c r="D281" s="1091"/>
      <c r="E281" s="1091"/>
      <c r="F281" s="1093"/>
      <c r="G281" s="98"/>
      <c r="H281" s="839"/>
      <c r="I281" s="1091"/>
      <c r="J281" s="1084"/>
      <c r="K281" s="1084"/>
      <c r="L281" s="932"/>
    </row>
    <row r="282" spans="1:12" s="106" customFormat="1" ht="15.75" hidden="1" customHeight="1" outlineLevel="1">
      <c r="A282" s="932"/>
      <c r="B282" s="1087"/>
      <c r="C282" s="1096"/>
      <c r="D282" s="1092"/>
      <c r="E282" s="1092"/>
      <c r="F282" s="1094"/>
      <c r="G282" s="103"/>
      <c r="H282" s="840"/>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839"/>
      <c r="I283" s="1091"/>
      <c r="J283" s="1083"/>
      <c r="K283" s="1083"/>
      <c r="L283" s="932"/>
    </row>
    <row r="284" spans="1:12" s="106" customFormat="1" ht="15.75" hidden="1" customHeight="1" outlineLevel="1">
      <c r="A284" s="932"/>
      <c r="B284" s="1086"/>
      <c r="C284" s="1095"/>
      <c r="D284" s="1091"/>
      <c r="E284" s="1091"/>
      <c r="F284" s="1093"/>
      <c r="G284" s="98"/>
      <c r="H284" s="839"/>
      <c r="I284" s="1091"/>
      <c r="J284" s="1084"/>
      <c r="K284" s="1084"/>
      <c r="L284" s="932"/>
    </row>
    <row r="285" spans="1:12" s="106" customFormat="1" ht="15.75" hidden="1" customHeight="1" outlineLevel="1">
      <c r="A285" s="932"/>
      <c r="B285" s="1087"/>
      <c r="C285" s="1096"/>
      <c r="D285" s="1092"/>
      <c r="E285" s="1092"/>
      <c r="F285" s="1094"/>
      <c r="G285" s="103"/>
      <c r="H285" s="840"/>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839"/>
      <c r="I286" s="1091"/>
      <c r="J286" s="1083"/>
      <c r="K286" s="1083"/>
      <c r="L286" s="932"/>
    </row>
    <row r="287" spans="1:12" s="106" customFormat="1" ht="15.75" hidden="1" customHeight="1" outlineLevel="1">
      <c r="A287" s="932"/>
      <c r="B287" s="1086"/>
      <c r="C287" s="1095"/>
      <c r="D287" s="1091"/>
      <c r="E287" s="1091"/>
      <c r="F287" s="1093"/>
      <c r="G287" s="98"/>
      <c r="H287" s="839"/>
      <c r="I287" s="1091"/>
      <c r="J287" s="1084"/>
      <c r="K287" s="1084"/>
      <c r="L287" s="932"/>
    </row>
    <row r="288" spans="1:12" s="106" customFormat="1" ht="15.75" hidden="1" customHeight="1" outlineLevel="1">
      <c r="A288" s="932"/>
      <c r="B288" s="1087"/>
      <c r="C288" s="1096"/>
      <c r="D288" s="1092"/>
      <c r="E288" s="1092"/>
      <c r="F288" s="1094"/>
      <c r="G288" s="103"/>
      <c r="H288" s="840"/>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839"/>
      <c r="I289" s="1091"/>
      <c r="J289" s="1083"/>
      <c r="K289" s="1083"/>
      <c r="L289" s="932"/>
    </row>
    <row r="290" spans="1:12" s="106" customFormat="1" ht="15.75" hidden="1" customHeight="1" outlineLevel="1">
      <c r="A290" s="932"/>
      <c r="B290" s="1086"/>
      <c r="C290" s="1095"/>
      <c r="D290" s="1091"/>
      <c r="E290" s="1091"/>
      <c r="F290" s="1093"/>
      <c r="G290" s="98"/>
      <c r="H290" s="839"/>
      <c r="I290" s="1091"/>
      <c r="J290" s="1084"/>
      <c r="K290" s="1084"/>
      <c r="L290" s="932"/>
    </row>
    <row r="291" spans="1:12" s="106" customFormat="1" ht="15.75" hidden="1" customHeight="1" outlineLevel="1">
      <c r="A291" s="932"/>
      <c r="B291" s="1087"/>
      <c r="C291" s="1096"/>
      <c r="D291" s="1092"/>
      <c r="E291" s="1092"/>
      <c r="F291" s="1094"/>
      <c r="G291" s="103"/>
      <c r="H291" s="840"/>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839"/>
      <c r="I292" s="1091"/>
      <c r="J292" s="1083"/>
      <c r="K292" s="1083"/>
      <c r="L292" s="932"/>
    </row>
    <row r="293" spans="1:12" s="106" customFormat="1" ht="15.75" hidden="1" customHeight="1" outlineLevel="1">
      <c r="A293" s="932"/>
      <c r="B293" s="1086"/>
      <c r="C293" s="1095"/>
      <c r="D293" s="1091"/>
      <c r="E293" s="1091"/>
      <c r="F293" s="1093"/>
      <c r="G293" s="98"/>
      <c r="H293" s="839"/>
      <c r="I293" s="1091"/>
      <c r="J293" s="1084"/>
      <c r="K293" s="1084"/>
      <c r="L293" s="932"/>
    </row>
    <row r="294" spans="1:12" s="106" customFormat="1" ht="15.75" hidden="1" customHeight="1" outlineLevel="1">
      <c r="A294" s="932"/>
      <c r="B294" s="1087"/>
      <c r="C294" s="1096"/>
      <c r="D294" s="1092"/>
      <c r="E294" s="1092"/>
      <c r="F294" s="1094"/>
      <c r="G294" s="103"/>
      <c r="H294" s="840"/>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839"/>
      <c r="I295" s="1091"/>
      <c r="J295" s="1083"/>
      <c r="K295" s="1083"/>
      <c r="L295" s="932"/>
    </row>
    <row r="296" spans="1:12" s="106" customFormat="1" ht="15.75" hidden="1" customHeight="1" outlineLevel="1">
      <c r="A296" s="932"/>
      <c r="B296" s="1086"/>
      <c r="C296" s="1095"/>
      <c r="D296" s="1091"/>
      <c r="E296" s="1091"/>
      <c r="F296" s="1093"/>
      <c r="G296" s="98"/>
      <c r="H296" s="839"/>
      <c r="I296" s="1091"/>
      <c r="J296" s="1084"/>
      <c r="K296" s="1084"/>
      <c r="L296" s="932"/>
    </row>
    <row r="297" spans="1:12" s="106" customFormat="1" ht="15.75" hidden="1" customHeight="1" outlineLevel="1">
      <c r="A297" s="932"/>
      <c r="B297" s="1087"/>
      <c r="C297" s="1096"/>
      <c r="D297" s="1092"/>
      <c r="E297" s="1092"/>
      <c r="F297" s="1094"/>
      <c r="G297" s="103"/>
      <c r="H297" s="840"/>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839"/>
      <c r="I298" s="1091"/>
      <c r="J298" s="1083"/>
      <c r="K298" s="1083"/>
      <c r="L298" s="932"/>
    </row>
    <row r="299" spans="1:12" s="106" customFormat="1" ht="15.75" hidden="1" customHeight="1" outlineLevel="1">
      <c r="A299" s="932"/>
      <c r="B299" s="1086"/>
      <c r="C299" s="1095"/>
      <c r="D299" s="1091"/>
      <c r="E299" s="1091"/>
      <c r="F299" s="1093"/>
      <c r="G299" s="98"/>
      <c r="H299" s="839"/>
      <c r="I299" s="1091"/>
      <c r="J299" s="1084"/>
      <c r="K299" s="1084"/>
      <c r="L299" s="932"/>
    </row>
    <row r="300" spans="1:12" s="106" customFormat="1" ht="15.75" hidden="1" customHeight="1" outlineLevel="1">
      <c r="A300" s="932"/>
      <c r="B300" s="1087"/>
      <c r="C300" s="1096"/>
      <c r="D300" s="1092"/>
      <c r="E300" s="1092"/>
      <c r="F300" s="1094"/>
      <c r="G300" s="103"/>
      <c r="H300" s="840"/>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839"/>
      <c r="I301" s="1091"/>
      <c r="J301" s="1083"/>
      <c r="K301" s="1083"/>
      <c r="L301" s="932"/>
    </row>
    <row r="302" spans="1:12" s="106" customFormat="1" ht="15.75" hidden="1" customHeight="1" outlineLevel="1">
      <c r="A302" s="932"/>
      <c r="B302" s="1086"/>
      <c r="C302" s="1095"/>
      <c r="D302" s="1091"/>
      <c r="E302" s="1091"/>
      <c r="F302" s="1093"/>
      <c r="G302" s="98"/>
      <c r="H302" s="839"/>
      <c r="I302" s="1091"/>
      <c r="J302" s="1084"/>
      <c r="K302" s="1084"/>
      <c r="L302" s="932"/>
    </row>
    <row r="303" spans="1:12" s="106" customFormat="1" ht="15.75" hidden="1" customHeight="1" outlineLevel="1">
      <c r="A303" s="932"/>
      <c r="B303" s="1087"/>
      <c r="C303" s="1096"/>
      <c r="D303" s="1092"/>
      <c r="E303" s="1092"/>
      <c r="F303" s="1094"/>
      <c r="G303" s="103"/>
      <c r="H303" s="840"/>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839"/>
      <c r="I304" s="1091"/>
      <c r="J304" s="1083"/>
      <c r="K304" s="1083"/>
      <c r="L304" s="932"/>
    </row>
    <row r="305" spans="1:12" s="106" customFormat="1" ht="15.75" hidden="1" customHeight="1" outlineLevel="1">
      <c r="A305" s="932"/>
      <c r="B305" s="1086"/>
      <c r="C305" s="1095"/>
      <c r="D305" s="1091"/>
      <c r="E305" s="1091"/>
      <c r="F305" s="1093"/>
      <c r="G305" s="98"/>
      <c r="H305" s="839"/>
      <c r="I305" s="1091"/>
      <c r="J305" s="1084"/>
      <c r="K305" s="1084"/>
      <c r="L305" s="932"/>
    </row>
    <row r="306" spans="1:12" s="106" customFormat="1" ht="15.75" hidden="1" customHeight="1" outlineLevel="1">
      <c r="A306" s="932"/>
      <c r="B306" s="1087"/>
      <c r="C306" s="1096"/>
      <c r="D306" s="1092"/>
      <c r="E306" s="1092"/>
      <c r="F306" s="1094"/>
      <c r="G306" s="103"/>
      <c r="H306" s="840"/>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839"/>
      <c r="I307" s="1091"/>
      <c r="J307" s="1083"/>
      <c r="K307" s="1083"/>
      <c r="L307" s="932"/>
    </row>
    <row r="308" spans="1:12" s="106" customFormat="1" ht="15.75" hidden="1" customHeight="1" outlineLevel="1">
      <c r="A308" s="932"/>
      <c r="B308" s="1086"/>
      <c r="C308" s="1095"/>
      <c r="D308" s="1091"/>
      <c r="E308" s="1091"/>
      <c r="F308" s="1093"/>
      <c r="G308" s="98"/>
      <c r="H308" s="839"/>
      <c r="I308" s="1091"/>
      <c r="J308" s="1084"/>
      <c r="K308" s="1084"/>
      <c r="L308" s="932"/>
    </row>
    <row r="309" spans="1:12" s="106" customFormat="1" ht="15.75" hidden="1" customHeight="1" outlineLevel="1">
      <c r="A309" s="932"/>
      <c r="B309" s="1087"/>
      <c r="C309" s="1096"/>
      <c r="D309" s="1092"/>
      <c r="E309" s="1092"/>
      <c r="F309" s="1094"/>
      <c r="G309" s="103"/>
      <c r="H309" s="840"/>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839"/>
      <c r="I310" s="1091"/>
      <c r="J310" s="1083"/>
      <c r="K310" s="1083"/>
      <c r="L310" s="932"/>
    </row>
    <row r="311" spans="1:12" s="106" customFormat="1" ht="15.75" hidden="1" customHeight="1" outlineLevel="1">
      <c r="A311" s="932"/>
      <c r="B311" s="1086"/>
      <c r="C311" s="1095"/>
      <c r="D311" s="1091"/>
      <c r="E311" s="1091"/>
      <c r="F311" s="1093"/>
      <c r="G311" s="98"/>
      <c r="H311" s="839"/>
      <c r="I311" s="1091"/>
      <c r="J311" s="1084"/>
      <c r="K311" s="1084"/>
      <c r="L311" s="932"/>
    </row>
    <row r="312" spans="1:12" s="106" customFormat="1" ht="15.75" hidden="1" customHeight="1" outlineLevel="1">
      <c r="A312" s="932"/>
      <c r="B312" s="1087"/>
      <c r="C312" s="1096"/>
      <c r="D312" s="1092"/>
      <c r="E312" s="1092"/>
      <c r="F312" s="1094"/>
      <c r="G312" s="103"/>
      <c r="H312" s="840"/>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839"/>
      <c r="I313" s="1091"/>
      <c r="J313" s="1083"/>
      <c r="K313" s="1083"/>
      <c r="L313" s="932"/>
    </row>
    <row r="314" spans="1:12" s="106" customFormat="1" ht="15.75" hidden="1" customHeight="1" outlineLevel="1">
      <c r="A314" s="932"/>
      <c r="B314" s="1086"/>
      <c r="C314" s="1095"/>
      <c r="D314" s="1091"/>
      <c r="E314" s="1091"/>
      <c r="F314" s="1093"/>
      <c r="G314" s="98"/>
      <c r="H314" s="839"/>
      <c r="I314" s="1091"/>
      <c r="J314" s="1084"/>
      <c r="K314" s="1084"/>
      <c r="L314" s="932"/>
    </row>
    <row r="315" spans="1:12" s="106" customFormat="1" ht="15.75" hidden="1" customHeight="1" outlineLevel="1">
      <c r="A315" s="932"/>
      <c r="B315" s="1087"/>
      <c r="C315" s="1096"/>
      <c r="D315" s="1092"/>
      <c r="E315" s="1092"/>
      <c r="F315" s="1094"/>
      <c r="G315" s="103"/>
      <c r="H315" s="840"/>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839"/>
      <c r="I316" s="1091"/>
      <c r="J316" s="1083"/>
      <c r="K316" s="1083"/>
      <c r="L316" s="932"/>
    </row>
    <row r="317" spans="1:12" s="106" customFormat="1" ht="15.75" hidden="1" customHeight="1" outlineLevel="1">
      <c r="A317" s="932"/>
      <c r="B317" s="1086"/>
      <c r="C317" s="1095"/>
      <c r="D317" s="1091"/>
      <c r="E317" s="1091"/>
      <c r="F317" s="1093"/>
      <c r="G317" s="98"/>
      <c r="H317" s="839"/>
      <c r="I317" s="1091"/>
      <c r="J317" s="1084"/>
      <c r="K317" s="1084"/>
      <c r="L317" s="932"/>
    </row>
    <row r="318" spans="1:12" s="106" customFormat="1" ht="15.75" hidden="1" customHeight="1" outlineLevel="1">
      <c r="A318" s="932"/>
      <c r="B318" s="1087"/>
      <c r="C318" s="1096"/>
      <c r="D318" s="1092"/>
      <c r="E318" s="1092"/>
      <c r="F318" s="1094"/>
      <c r="G318" s="103"/>
      <c r="H318" s="840"/>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839"/>
      <c r="I319" s="1091"/>
      <c r="J319" s="1083"/>
      <c r="K319" s="1083"/>
      <c r="L319" s="932"/>
    </row>
    <row r="320" spans="1:12" s="106" customFormat="1" ht="15.75" hidden="1" customHeight="1" outlineLevel="1">
      <c r="A320" s="932"/>
      <c r="B320" s="1086"/>
      <c r="C320" s="1095"/>
      <c r="D320" s="1091"/>
      <c r="E320" s="1091"/>
      <c r="F320" s="1093"/>
      <c r="G320" s="98"/>
      <c r="H320" s="839"/>
      <c r="I320" s="1091"/>
      <c r="J320" s="1084"/>
      <c r="K320" s="1084"/>
      <c r="L320" s="932"/>
    </row>
    <row r="321" spans="1:12" s="106" customFormat="1" ht="15.75" hidden="1" customHeight="1" outlineLevel="1">
      <c r="A321" s="932"/>
      <c r="B321" s="1087"/>
      <c r="C321" s="1096"/>
      <c r="D321" s="1092"/>
      <c r="E321" s="1092"/>
      <c r="F321" s="1094"/>
      <c r="G321" s="103"/>
      <c r="H321" s="840"/>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839"/>
      <c r="I322" s="1091"/>
      <c r="J322" s="1083"/>
      <c r="K322" s="1083"/>
      <c r="L322" s="932"/>
    </row>
    <row r="323" spans="1:12" s="106" customFormat="1" ht="15.75" hidden="1" customHeight="1" outlineLevel="1">
      <c r="A323" s="932"/>
      <c r="B323" s="1086"/>
      <c r="C323" s="1095"/>
      <c r="D323" s="1091"/>
      <c r="E323" s="1091"/>
      <c r="F323" s="1093"/>
      <c r="G323" s="98"/>
      <c r="H323" s="839"/>
      <c r="I323" s="1091"/>
      <c r="J323" s="1084"/>
      <c r="K323" s="1084"/>
      <c r="L323" s="932"/>
    </row>
    <row r="324" spans="1:12" s="106" customFormat="1" ht="15.75" hidden="1" customHeight="1" outlineLevel="1">
      <c r="A324" s="932"/>
      <c r="B324" s="1087"/>
      <c r="C324" s="1096"/>
      <c r="D324" s="1092"/>
      <c r="E324" s="1092"/>
      <c r="F324" s="1094"/>
      <c r="G324" s="103"/>
      <c r="H324" s="840"/>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839"/>
      <c r="I325" s="1091"/>
      <c r="J325" s="1083"/>
      <c r="K325" s="1083"/>
      <c r="L325" s="932"/>
    </row>
    <row r="326" spans="1:12" s="106" customFormat="1" ht="15.75" hidden="1" customHeight="1" outlineLevel="1">
      <c r="A326" s="932"/>
      <c r="B326" s="1086"/>
      <c r="C326" s="1095"/>
      <c r="D326" s="1091"/>
      <c r="E326" s="1091"/>
      <c r="F326" s="1093"/>
      <c r="G326" s="98"/>
      <c r="H326" s="839"/>
      <c r="I326" s="1091"/>
      <c r="J326" s="1084"/>
      <c r="K326" s="1084"/>
      <c r="L326" s="932"/>
    </row>
    <row r="327" spans="1:12" s="106" customFormat="1" ht="15.75" hidden="1" customHeight="1" outlineLevel="1">
      <c r="A327" s="932"/>
      <c r="B327" s="1087"/>
      <c r="C327" s="1096"/>
      <c r="D327" s="1092"/>
      <c r="E327" s="1092"/>
      <c r="F327" s="1094"/>
      <c r="G327" s="103"/>
      <c r="H327" s="840"/>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839"/>
      <c r="I328" s="1091"/>
      <c r="J328" s="1083"/>
      <c r="K328" s="1083"/>
      <c r="L328" s="932"/>
    </row>
    <row r="329" spans="1:12" s="106" customFormat="1" ht="15.75" hidden="1" customHeight="1" outlineLevel="1">
      <c r="A329" s="932"/>
      <c r="B329" s="1086"/>
      <c r="C329" s="1095"/>
      <c r="D329" s="1091"/>
      <c r="E329" s="1091"/>
      <c r="F329" s="1093"/>
      <c r="G329" s="98"/>
      <c r="H329" s="839"/>
      <c r="I329" s="1091"/>
      <c r="J329" s="1084"/>
      <c r="K329" s="1084"/>
      <c r="L329" s="932"/>
    </row>
    <row r="330" spans="1:12" s="106" customFormat="1" ht="15.75" hidden="1" customHeight="1" outlineLevel="1">
      <c r="A330" s="932"/>
      <c r="B330" s="1087"/>
      <c r="C330" s="1096"/>
      <c r="D330" s="1092"/>
      <c r="E330" s="1092"/>
      <c r="F330" s="1094"/>
      <c r="G330" s="103"/>
      <c r="H330" s="840"/>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839"/>
      <c r="I331" s="1091"/>
      <c r="J331" s="1083"/>
      <c r="K331" s="1083"/>
      <c r="L331" s="932"/>
    </row>
    <row r="332" spans="1:12" s="106" customFormat="1" ht="15.75" hidden="1" customHeight="1" outlineLevel="1">
      <c r="A332" s="932"/>
      <c r="B332" s="1086"/>
      <c r="C332" s="1095"/>
      <c r="D332" s="1091"/>
      <c r="E332" s="1091"/>
      <c r="F332" s="1093"/>
      <c r="G332" s="98"/>
      <c r="H332" s="839"/>
      <c r="I332" s="1091"/>
      <c r="J332" s="1084"/>
      <c r="K332" s="1084"/>
      <c r="L332" s="932"/>
    </row>
    <row r="333" spans="1:12" s="106" customFormat="1" ht="15.75" hidden="1" customHeight="1" outlineLevel="1">
      <c r="A333" s="932"/>
      <c r="B333" s="1087"/>
      <c r="C333" s="1096"/>
      <c r="D333" s="1092"/>
      <c r="E333" s="1092"/>
      <c r="F333" s="1094"/>
      <c r="G333" s="103"/>
      <c r="H333" s="840"/>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839"/>
      <c r="I334" s="1091"/>
      <c r="J334" s="1083"/>
      <c r="K334" s="1083"/>
      <c r="L334" s="932"/>
    </row>
    <row r="335" spans="1:12" s="106" customFormat="1" ht="15.75" hidden="1" customHeight="1" outlineLevel="1">
      <c r="A335" s="932"/>
      <c r="B335" s="1086"/>
      <c r="C335" s="1095"/>
      <c r="D335" s="1091"/>
      <c r="E335" s="1091"/>
      <c r="F335" s="1093"/>
      <c r="G335" s="98"/>
      <c r="H335" s="839"/>
      <c r="I335" s="1091"/>
      <c r="J335" s="1084"/>
      <c r="K335" s="1084"/>
      <c r="L335" s="932"/>
    </row>
    <row r="336" spans="1:12" s="106" customFormat="1" ht="15.75" hidden="1" customHeight="1" outlineLevel="1">
      <c r="A336" s="932"/>
      <c r="B336" s="1087"/>
      <c r="C336" s="1096"/>
      <c r="D336" s="1092"/>
      <c r="E336" s="1092"/>
      <c r="F336" s="1094"/>
      <c r="G336" s="103"/>
      <c r="H336" s="840"/>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839"/>
      <c r="I337" s="1091"/>
      <c r="J337" s="1083"/>
      <c r="K337" s="1083"/>
      <c r="L337" s="932"/>
    </row>
    <row r="338" spans="1:12" s="106" customFormat="1" ht="15.75" hidden="1" customHeight="1" outlineLevel="1">
      <c r="A338" s="932"/>
      <c r="B338" s="1086"/>
      <c r="C338" s="1095"/>
      <c r="D338" s="1091"/>
      <c r="E338" s="1091"/>
      <c r="F338" s="1093"/>
      <c r="G338" s="98"/>
      <c r="H338" s="839"/>
      <c r="I338" s="1091"/>
      <c r="J338" s="1084"/>
      <c r="K338" s="1084"/>
      <c r="L338" s="932"/>
    </row>
    <row r="339" spans="1:12" s="106" customFormat="1" ht="15.75" hidden="1" customHeight="1" outlineLevel="1">
      <c r="A339" s="932"/>
      <c r="B339" s="1087"/>
      <c r="C339" s="1096"/>
      <c r="D339" s="1092"/>
      <c r="E339" s="1092"/>
      <c r="F339" s="1094"/>
      <c r="G339" s="103"/>
      <c r="H339" s="840"/>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839"/>
      <c r="I340" s="1091"/>
      <c r="J340" s="1083"/>
      <c r="K340" s="1083"/>
      <c r="L340" s="932"/>
    </row>
    <row r="341" spans="1:12" s="106" customFormat="1" ht="15.75" hidden="1" customHeight="1" outlineLevel="1">
      <c r="A341" s="932"/>
      <c r="B341" s="1086"/>
      <c r="C341" s="1095"/>
      <c r="D341" s="1091"/>
      <c r="E341" s="1091"/>
      <c r="F341" s="1093"/>
      <c r="G341" s="98"/>
      <c r="H341" s="839"/>
      <c r="I341" s="1091"/>
      <c r="J341" s="1084"/>
      <c r="K341" s="1084"/>
      <c r="L341" s="932"/>
    </row>
    <row r="342" spans="1:12" s="106" customFormat="1" ht="15.75" hidden="1" customHeight="1" outlineLevel="1">
      <c r="A342" s="932"/>
      <c r="B342" s="1087"/>
      <c r="C342" s="1096"/>
      <c r="D342" s="1092"/>
      <c r="E342" s="1092"/>
      <c r="F342" s="1094"/>
      <c r="G342" s="103"/>
      <c r="H342" s="840"/>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839"/>
      <c r="I343" s="1091"/>
      <c r="J343" s="1083"/>
      <c r="K343" s="1083"/>
      <c r="L343" s="932"/>
    </row>
    <row r="344" spans="1:12" s="106" customFormat="1" ht="15.75" hidden="1" customHeight="1" outlineLevel="1">
      <c r="A344" s="932"/>
      <c r="B344" s="1086"/>
      <c r="C344" s="1095"/>
      <c r="D344" s="1091"/>
      <c r="E344" s="1091"/>
      <c r="F344" s="1093"/>
      <c r="G344" s="98"/>
      <c r="H344" s="839"/>
      <c r="I344" s="1091"/>
      <c r="J344" s="1084"/>
      <c r="K344" s="1084"/>
      <c r="L344" s="932"/>
    </row>
    <row r="345" spans="1:12" s="106" customFormat="1" ht="15.75" hidden="1" customHeight="1" outlineLevel="1">
      <c r="A345" s="932"/>
      <c r="B345" s="1087"/>
      <c r="C345" s="1096"/>
      <c r="D345" s="1092"/>
      <c r="E345" s="1092"/>
      <c r="F345" s="1094"/>
      <c r="G345" s="103"/>
      <c r="H345" s="840"/>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839"/>
      <c r="I346" s="1091"/>
      <c r="J346" s="1083"/>
      <c r="K346" s="1083"/>
      <c r="L346" s="932"/>
    </row>
    <row r="347" spans="1:12" s="106" customFormat="1" ht="15.75" hidden="1" customHeight="1" outlineLevel="1">
      <c r="A347" s="932"/>
      <c r="B347" s="1086"/>
      <c r="C347" s="1095"/>
      <c r="D347" s="1091"/>
      <c r="E347" s="1091"/>
      <c r="F347" s="1093"/>
      <c r="G347" s="98"/>
      <c r="H347" s="839"/>
      <c r="I347" s="1091"/>
      <c r="J347" s="1084"/>
      <c r="K347" s="1084"/>
      <c r="L347" s="932"/>
    </row>
    <row r="348" spans="1:12" s="106" customFormat="1" ht="15.75" hidden="1" customHeight="1" outlineLevel="1">
      <c r="A348" s="932"/>
      <c r="B348" s="1087"/>
      <c r="C348" s="1096"/>
      <c r="D348" s="1092"/>
      <c r="E348" s="1092"/>
      <c r="F348" s="1094"/>
      <c r="G348" s="103"/>
      <c r="H348" s="840"/>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839"/>
      <c r="I349" s="1091"/>
      <c r="J349" s="1083"/>
      <c r="K349" s="1083"/>
      <c r="L349" s="932"/>
    </row>
    <row r="350" spans="1:12" s="106" customFormat="1" ht="15.75" hidden="1" customHeight="1" outlineLevel="1">
      <c r="A350" s="932"/>
      <c r="B350" s="1086"/>
      <c r="C350" s="1095"/>
      <c r="D350" s="1091"/>
      <c r="E350" s="1091"/>
      <c r="F350" s="1093"/>
      <c r="G350" s="98"/>
      <c r="H350" s="839"/>
      <c r="I350" s="1091"/>
      <c r="J350" s="1084"/>
      <c r="K350" s="1084"/>
      <c r="L350" s="932"/>
    </row>
    <row r="351" spans="1:12" s="106" customFormat="1" ht="15.75" hidden="1" customHeight="1" outlineLevel="1">
      <c r="A351" s="932"/>
      <c r="B351" s="1087"/>
      <c r="C351" s="1096"/>
      <c r="D351" s="1092"/>
      <c r="E351" s="1092"/>
      <c r="F351" s="1094"/>
      <c r="G351" s="103"/>
      <c r="H351" s="840"/>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839"/>
      <c r="I352" s="1091"/>
      <c r="J352" s="1083"/>
      <c r="K352" s="1083"/>
      <c r="L352" s="932"/>
    </row>
    <row r="353" spans="1:12" s="106" customFormat="1" ht="15.75" hidden="1" customHeight="1" outlineLevel="1">
      <c r="A353" s="932"/>
      <c r="B353" s="1086"/>
      <c r="C353" s="1095"/>
      <c r="D353" s="1091"/>
      <c r="E353" s="1091"/>
      <c r="F353" s="1093"/>
      <c r="G353" s="98"/>
      <c r="H353" s="839"/>
      <c r="I353" s="1091"/>
      <c r="J353" s="1084"/>
      <c r="K353" s="1084"/>
      <c r="L353" s="932"/>
    </row>
    <row r="354" spans="1:12" s="106" customFormat="1" ht="15.75" hidden="1" customHeight="1" outlineLevel="1">
      <c r="A354" s="932"/>
      <c r="B354" s="1087"/>
      <c r="C354" s="1096"/>
      <c r="D354" s="1092"/>
      <c r="E354" s="1092"/>
      <c r="F354" s="1094"/>
      <c r="G354" s="103"/>
      <c r="H354" s="840"/>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839"/>
      <c r="I355" s="1091"/>
      <c r="J355" s="1083"/>
      <c r="K355" s="1083"/>
      <c r="L355" s="932"/>
    </row>
    <row r="356" spans="1:12" s="106" customFormat="1" ht="15.75" hidden="1" customHeight="1" outlineLevel="1">
      <c r="A356" s="932"/>
      <c r="B356" s="1086"/>
      <c r="C356" s="1095"/>
      <c r="D356" s="1091"/>
      <c r="E356" s="1091"/>
      <c r="F356" s="1093"/>
      <c r="G356" s="98"/>
      <c r="H356" s="839"/>
      <c r="I356" s="1091"/>
      <c r="J356" s="1084"/>
      <c r="K356" s="1084"/>
      <c r="L356" s="932"/>
    </row>
    <row r="357" spans="1:12" s="106" customFormat="1" ht="15.75" hidden="1" customHeight="1" outlineLevel="1">
      <c r="A357" s="932"/>
      <c r="B357" s="1087"/>
      <c r="C357" s="1096"/>
      <c r="D357" s="1092"/>
      <c r="E357" s="1092"/>
      <c r="F357" s="1094"/>
      <c r="G357" s="103"/>
      <c r="H357" s="840"/>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839"/>
      <c r="I358" s="1091"/>
      <c r="J358" s="1083"/>
      <c r="K358" s="1083"/>
      <c r="L358" s="932"/>
    </row>
    <row r="359" spans="1:12" s="106" customFormat="1" ht="15.75" hidden="1" customHeight="1" outlineLevel="1">
      <c r="A359" s="932"/>
      <c r="B359" s="1086"/>
      <c r="C359" s="1095"/>
      <c r="D359" s="1091"/>
      <c r="E359" s="1091"/>
      <c r="F359" s="1093"/>
      <c r="G359" s="98"/>
      <c r="H359" s="839"/>
      <c r="I359" s="1091"/>
      <c r="J359" s="1084"/>
      <c r="K359" s="1084"/>
      <c r="L359" s="932"/>
    </row>
    <row r="360" spans="1:12" s="106" customFormat="1" ht="15.75" hidden="1" customHeight="1" outlineLevel="1">
      <c r="A360" s="932"/>
      <c r="B360" s="1087"/>
      <c r="C360" s="1096"/>
      <c r="D360" s="1092"/>
      <c r="E360" s="1092"/>
      <c r="F360" s="1094"/>
      <c r="G360" s="103"/>
      <c r="H360" s="840"/>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839"/>
      <c r="I361" s="1091"/>
      <c r="J361" s="1083"/>
      <c r="K361" s="1083"/>
      <c r="L361" s="932"/>
    </row>
    <row r="362" spans="1:12" s="106" customFormat="1" ht="15.75" hidden="1" customHeight="1" outlineLevel="1">
      <c r="A362" s="932"/>
      <c r="B362" s="1086"/>
      <c r="C362" s="1095"/>
      <c r="D362" s="1091"/>
      <c r="E362" s="1091"/>
      <c r="F362" s="1093"/>
      <c r="G362" s="98"/>
      <c r="H362" s="839"/>
      <c r="I362" s="1091"/>
      <c r="J362" s="1084"/>
      <c r="K362" s="1084"/>
      <c r="L362" s="932"/>
    </row>
    <row r="363" spans="1:12" s="106" customFormat="1" ht="15.75" hidden="1" customHeight="1" outlineLevel="1">
      <c r="A363" s="932"/>
      <c r="B363" s="1087"/>
      <c r="C363" s="1096"/>
      <c r="D363" s="1092"/>
      <c r="E363" s="1092"/>
      <c r="F363" s="1094"/>
      <c r="G363" s="103"/>
      <c r="H363" s="840"/>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839"/>
      <c r="I364" s="1091"/>
      <c r="J364" s="1083"/>
      <c r="K364" s="1083"/>
      <c r="L364" s="932"/>
    </row>
    <row r="365" spans="1:12" s="106" customFormat="1" ht="15.75" hidden="1" customHeight="1" outlineLevel="1">
      <c r="A365" s="932"/>
      <c r="B365" s="1086"/>
      <c r="C365" s="1095"/>
      <c r="D365" s="1091"/>
      <c r="E365" s="1091"/>
      <c r="F365" s="1093"/>
      <c r="G365" s="98"/>
      <c r="H365" s="839"/>
      <c r="I365" s="1091"/>
      <c r="J365" s="1084"/>
      <c r="K365" s="1084"/>
      <c r="L365" s="932"/>
    </row>
    <row r="366" spans="1:12" s="106" customFormat="1" ht="15.75" hidden="1" customHeight="1" outlineLevel="1">
      <c r="A366" s="932"/>
      <c r="B366" s="1087"/>
      <c r="C366" s="1096"/>
      <c r="D366" s="1092"/>
      <c r="E366" s="1092"/>
      <c r="F366" s="1094"/>
      <c r="G366" s="103"/>
      <c r="H366" s="840"/>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839"/>
      <c r="I367" s="1091"/>
      <c r="J367" s="1083"/>
      <c r="K367" s="1083"/>
      <c r="L367" s="932"/>
    </row>
    <row r="368" spans="1:12" s="106" customFormat="1" ht="15.75" hidden="1" customHeight="1" outlineLevel="1">
      <c r="A368" s="932"/>
      <c r="B368" s="1086"/>
      <c r="C368" s="1095"/>
      <c r="D368" s="1091"/>
      <c r="E368" s="1091"/>
      <c r="F368" s="1093"/>
      <c r="G368" s="98"/>
      <c r="H368" s="839"/>
      <c r="I368" s="1091"/>
      <c r="J368" s="1084"/>
      <c r="K368" s="1084"/>
      <c r="L368" s="932"/>
    </row>
    <row r="369" spans="1:12" s="106" customFormat="1" ht="15.75" hidden="1" customHeight="1" outlineLevel="1">
      <c r="A369" s="932"/>
      <c r="B369" s="1087"/>
      <c r="C369" s="1096"/>
      <c r="D369" s="1092"/>
      <c r="E369" s="1092"/>
      <c r="F369" s="1094"/>
      <c r="G369" s="103"/>
      <c r="H369" s="840"/>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839"/>
      <c r="I370" s="1091"/>
      <c r="J370" s="1083"/>
      <c r="K370" s="1083"/>
      <c r="L370" s="932"/>
    </row>
    <row r="371" spans="1:12" s="106" customFormat="1" ht="15.75" hidden="1" customHeight="1" outlineLevel="1">
      <c r="A371" s="932"/>
      <c r="B371" s="1086"/>
      <c r="C371" s="1095"/>
      <c r="D371" s="1091"/>
      <c r="E371" s="1091"/>
      <c r="F371" s="1093"/>
      <c r="G371" s="98"/>
      <c r="H371" s="839"/>
      <c r="I371" s="1091"/>
      <c r="J371" s="1084"/>
      <c r="K371" s="1084"/>
      <c r="L371" s="932"/>
    </row>
    <row r="372" spans="1:12" s="106" customFormat="1" ht="15.75" hidden="1" customHeight="1" outlineLevel="1">
      <c r="A372" s="932"/>
      <c r="B372" s="1087"/>
      <c r="C372" s="1096"/>
      <c r="D372" s="1092"/>
      <c r="E372" s="1092"/>
      <c r="F372" s="1094"/>
      <c r="G372" s="103"/>
      <c r="H372" s="840"/>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839"/>
      <c r="I373" s="1091"/>
      <c r="J373" s="1083"/>
      <c r="K373" s="1083"/>
      <c r="L373" s="932"/>
    </row>
    <row r="374" spans="1:12" s="106" customFormat="1" ht="15.75" hidden="1" customHeight="1" outlineLevel="1">
      <c r="A374" s="932"/>
      <c r="B374" s="1086"/>
      <c r="C374" s="1095"/>
      <c r="D374" s="1091"/>
      <c r="E374" s="1091"/>
      <c r="F374" s="1093"/>
      <c r="G374" s="98"/>
      <c r="H374" s="839"/>
      <c r="I374" s="1091"/>
      <c r="J374" s="1084"/>
      <c r="K374" s="1084"/>
      <c r="L374" s="932"/>
    </row>
    <row r="375" spans="1:12" s="106" customFormat="1" ht="15.75" hidden="1" customHeight="1" outlineLevel="1">
      <c r="A375" s="932"/>
      <c r="B375" s="1087"/>
      <c r="C375" s="1096"/>
      <c r="D375" s="1092"/>
      <c r="E375" s="1092"/>
      <c r="F375" s="1094"/>
      <c r="G375" s="103"/>
      <c r="H375" s="840"/>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839"/>
      <c r="I376" s="1091"/>
      <c r="J376" s="1083"/>
      <c r="K376" s="1083"/>
      <c r="L376" s="932"/>
    </row>
    <row r="377" spans="1:12" s="106" customFormat="1" ht="15.75" hidden="1" customHeight="1" outlineLevel="1">
      <c r="A377" s="932"/>
      <c r="B377" s="1086"/>
      <c r="C377" s="1095"/>
      <c r="D377" s="1091"/>
      <c r="E377" s="1091"/>
      <c r="F377" s="1093"/>
      <c r="G377" s="98"/>
      <c r="H377" s="839"/>
      <c r="I377" s="1091"/>
      <c r="J377" s="1084"/>
      <c r="K377" s="1084"/>
      <c r="L377" s="932"/>
    </row>
    <row r="378" spans="1:12" s="106" customFormat="1" ht="15.75" hidden="1" customHeight="1" outlineLevel="1">
      <c r="A378" s="932"/>
      <c r="B378" s="1087"/>
      <c r="C378" s="1096"/>
      <c r="D378" s="1092"/>
      <c r="E378" s="1092"/>
      <c r="F378" s="1094"/>
      <c r="G378" s="103"/>
      <c r="H378" s="840"/>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839"/>
      <c r="I379" s="1091"/>
      <c r="J379" s="1083"/>
      <c r="K379" s="1083"/>
      <c r="L379" s="932"/>
    </row>
    <row r="380" spans="1:12" s="106" customFormat="1" ht="15.75" hidden="1" customHeight="1" outlineLevel="1">
      <c r="A380" s="932"/>
      <c r="B380" s="1086"/>
      <c r="C380" s="1095"/>
      <c r="D380" s="1091"/>
      <c r="E380" s="1091"/>
      <c r="F380" s="1093"/>
      <c r="G380" s="98"/>
      <c r="H380" s="839"/>
      <c r="I380" s="1091"/>
      <c r="J380" s="1084"/>
      <c r="K380" s="1084"/>
      <c r="L380" s="932"/>
    </row>
    <row r="381" spans="1:12" s="106" customFormat="1" ht="15.75" hidden="1" customHeight="1" outlineLevel="1">
      <c r="A381" s="932"/>
      <c r="B381" s="1087"/>
      <c r="C381" s="1096"/>
      <c r="D381" s="1092"/>
      <c r="E381" s="1092"/>
      <c r="F381" s="1094"/>
      <c r="G381" s="103"/>
      <c r="H381" s="840"/>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839"/>
      <c r="I382" s="1091"/>
      <c r="J382" s="1083"/>
      <c r="K382" s="1083"/>
      <c r="L382" s="932"/>
    </row>
    <row r="383" spans="1:12" s="106" customFormat="1" ht="15.75" hidden="1" customHeight="1" outlineLevel="1">
      <c r="A383" s="932"/>
      <c r="B383" s="1086"/>
      <c r="C383" s="1095"/>
      <c r="D383" s="1091"/>
      <c r="E383" s="1091"/>
      <c r="F383" s="1093"/>
      <c r="G383" s="98"/>
      <c r="H383" s="839"/>
      <c r="I383" s="1091"/>
      <c r="J383" s="1084"/>
      <c r="K383" s="1084"/>
      <c r="L383" s="932"/>
    </row>
    <row r="384" spans="1:12" s="106" customFormat="1" ht="15.75" hidden="1" customHeight="1" outlineLevel="1">
      <c r="A384" s="932"/>
      <c r="B384" s="1087"/>
      <c r="C384" s="1096"/>
      <c r="D384" s="1092"/>
      <c r="E384" s="1092"/>
      <c r="F384" s="1094"/>
      <c r="G384" s="103"/>
      <c r="H384" s="840"/>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839"/>
      <c r="I385" s="1091"/>
      <c r="J385" s="1083"/>
      <c r="K385" s="1083"/>
      <c r="L385" s="932"/>
    </row>
    <row r="386" spans="1:12" s="106" customFormat="1" ht="15.75" hidden="1" customHeight="1" outlineLevel="1">
      <c r="A386" s="932"/>
      <c r="B386" s="1086"/>
      <c r="C386" s="1095"/>
      <c r="D386" s="1091"/>
      <c r="E386" s="1091"/>
      <c r="F386" s="1093"/>
      <c r="G386" s="98"/>
      <c r="H386" s="839"/>
      <c r="I386" s="1091"/>
      <c r="J386" s="1084"/>
      <c r="K386" s="1084"/>
      <c r="L386" s="932"/>
    </row>
    <row r="387" spans="1:12" s="106" customFormat="1" ht="15.75" hidden="1" customHeight="1" outlineLevel="1">
      <c r="A387" s="932"/>
      <c r="B387" s="1087"/>
      <c r="C387" s="1096"/>
      <c r="D387" s="1092"/>
      <c r="E387" s="1092"/>
      <c r="F387" s="1094"/>
      <c r="G387" s="103"/>
      <c r="H387" s="840"/>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839"/>
      <c r="I388" s="1091"/>
      <c r="J388" s="1083"/>
      <c r="K388" s="1083"/>
      <c r="L388" s="932"/>
    </row>
    <row r="389" spans="1:12" s="106" customFormat="1" ht="15.75" hidden="1" customHeight="1" outlineLevel="1">
      <c r="A389" s="932"/>
      <c r="B389" s="1086"/>
      <c r="C389" s="1095"/>
      <c r="D389" s="1091"/>
      <c r="E389" s="1091"/>
      <c r="F389" s="1093"/>
      <c r="G389" s="98"/>
      <c r="H389" s="839"/>
      <c r="I389" s="1091"/>
      <c r="J389" s="1084"/>
      <c r="K389" s="1084"/>
      <c r="L389" s="932"/>
    </row>
    <row r="390" spans="1:12" s="106" customFormat="1" ht="15.75" hidden="1" customHeight="1" outlineLevel="1">
      <c r="A390" s="932"/>
      <c r="B390" s="1087"/>
      <c r="C390" s="1096"/>
      <c r="D390" s="1092"/>
      <c r="E390" s="1092"/>
      <c r="F390" s="1094"/>
      <c r="G390" s="103"/>
      <c r="H390" s="840"/>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839"/>
      <c r="I391" s="1091"/>
      <c r="J391" s="1083"/>
      <c r="K391" s="1083"/>
      <c r="L391" s="932"/>
    </row>
    <row r="392" spans="1:12" s="106" customFormat="1" ht="15.75" hidden="1" customHeight="1" outlineLevel="1">
      <c r="A392" s="932"/>
      <c r="B392" s="1086"/>
      <c r="C392" s="1095"/>
      <c r="D392" s="1091"/>
      <c r="E392" s="1091"/>
      <c r="F392" s="1093"/>
      <c r="G392" s="98"/>
      <c r="H392" s="839"/>
      <c r="I392" s="1091"/>
      <c r="J392" s="1084"/>
      <c r="K392" s="1084"/>
      <c r="L392" s="932"/>
    </row>
    <row r="393" spans="1:12" s="106" customFormat="1" ht="15.75" hidden="1" customHeight="1" outlineLevel="1">
      <c r="A393" s="932"/>
      <c r="B393" s="1087"/>
      <c r="C393" s="1096"/>
      <c r="D393" s="1092"/>
      <c r="E393" s="1092"/>
      <c r="F393" s="1094"/>
      <c r="G393" s="103"/>
      <c r="H393" s="840"/>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839"/>
      <c r="I394" s="1091"/>
      <c r="J394" s="1083"/>
      <c r="K394" s="1083"/>
      <c r="L394" s="932"/>
    </row>
    <row r="395" spans="1:12" s="106" customFormat="1" ht="15.75" hidden="1" customHeight="1" outlineLevel="1">
      <c r="A395" s="932"/>
      <c r="B395" s="1086"/>
      <c r="C395" s="1095"/>
      <c r="D395" s="1091"/>
      <c r="E395" s="1091"/>
      <c r="F395" s="1093"/>
      <c r="G395" s="98"/>
      <c r="H395" s="839"/>
      <c r="I395" s="1091"/>
      <c r="J395" s="1084"/>
      <c r="K395" s="1084"/>
      <c r="L395" s="932"/>
    </row>
    <row r="396" spans="1:12" s="106" customFormat="1" ht="15.75" hidden="1" customHeight="1" outlineLevel="1">
      <c r="A396" s="932"/>
      <c r="B396" s="1087"/>
      <c r="C396" s="1096"/>
      <c r="D396" s="1092"/>
      <c r="E396" s="1092"/>
      <c r="F396" s="1094"/>
      <c r="G396" s="103"/>
      <c r="H396" s="840"/>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839"/>
      <c r="I397" s="1091"/>
      <c r="J397" s="1083"/>
      <c r="K397" s="1083"/>
      <c r="L397" s="932"/>
    </row>
    <row r="398" spans="1:12" s="106" customFormat="1" ht="15.75" hidden="1" customHeight="1" outlineLevel="1">
      <c r="A398" s="932"/>
      <c r="B398" s="1086"/>
      <c r="C398" s="1095"/>
      <c r="D398" s="1091"/>
      <c r="E398" s="1091"/>
      <c r="F398" s="1093"/>
      <c r="G398" s="98"/>
      <c r="H398" s="839"/>
      <c r="I398" s="1091"/>
      <c r="J398" s="1084"/>
      <c r="K398" s="1084"/>
      <c r="L398" s="932"/>
    </row>
    <row r="399" spans="1:12" s="106" customFormat="1" ht="15.75" hidden="1" customHeight="1" outlineLevel="1">
      <c r="A399" s="932"/>
      <c r="B399" s="1087"/>
      <c r="C399" s="1096"/>
      <c r="D399" s="1092"/>
      <c r="E399" s="1092"/>
      <c r="F399" s="1094"/>
      <c r="G399" s="103"/>
      <c r="H399" s="840"/>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839"/>
      <c r="I400" s="1091"/>
      <c r="J400" s="1083"/>
      <c r="K400" s="1083"/>
      <c r="L400" s="932"/>
    </row>
    <row r="401" spans="1:12" s="106" customFormat="1" ht="15.75" hidden="1" customHeight="1" outlineLevel="1">
      <c r="A401" s="932"/>
      <c r="B401" s="1086"/>
      <c r="C401" s="1095"/>
      <c r="D401" s="1091"/>
      <c r="E401" s="1091"/>
      <c r="F401" s="1093"/>
      <c r="G401" s="98"/>
      <c r="H401" s="839"/>
      <c r="I401" s="1091"/>
      <c r="J401" s="1084"/>
      <c r="K401" s="1084"/>
      <c r="L401" s="932"/>
    </row>
    <row r="402" spans="1:12" s="106" customFormat="1" ht="15.75" hidden="1" customHeight="1" outlineLevel="1">
      <c r="A402" s="932"/>
      <c r="B402" s="1087"/>
      <c r="C402" s="1096"/>
      <c r="D402" s="1092"/>
      <c r="E402" s="1092"/>
      <c r="F402" s="1094"/>
      <c r="G402" s="103"/>
      <c r="H402" s="840"/>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839"/>
      <c r="I403" s="1091"/>
      <c r="J403" s="1083"/>
      <c r="K403" s="1083"/>
      <c r="L403" s="932"/>
    </row>
    <row r="404" spans="1:12" s="106" customFormat="1" ht="15.75" hidden="1" customHeight="1" outlineLevel="1">
      <c r="A404" s="932"/>
      <c r="B404" s="1086"/>
      <c r="C404" s="1095"/>
      <c r="D404" s="1091"/>
      <c r="E404" s="1091"/>
      <c r="F404" s="1093"/>
      <c r="G404" s="98"/>
      <c r="H404" s="839"/>
      <c r="I404" s="1091"/>
      <c r="J404" s="1084"/>
      <c r="K404" s="1084"/>
      <c r="L404" s="932"/>
    </row>
    <row r="405" spans="1:12" s="106" customFormat="1" ht="15.75" hidden="1" customHeight="1" outlineLevel="1">
      <c r="A405" s="932"/>
      <c r="B405" s="1087"/>
      <c r="C405" s="1096"/>
      <c r="D405" s="1092"/>
      <c r="E405" s="1092"/>
      <c r="F405" s="1094"/>
      <c r="G405" s="103"/>
      <c r="H405" s="840"/>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839"/>
      <c r="I406" s="1091"/>
      <c r="J406" s="1083"/>
      <c r="K406" s="1083"/>
      <c r="L406" s="932"/>
    </row>
    <row r="407" spans="1:12" s="106" customFormat="1" ht="15.75" hidden="1" customHeight="1" outlineLevel="1">
      <c r="A407" s="932"/>
      <c r="B407" s="1086"/>
      <c r="C407" s="1095"/>
      <c r="D407" s="1091"/>
      <c r="E407" s="1091"/>
      <c r="F407" s="1093"/>
      <c r="G407" s="98"/>
      <c r="H407" s="839"/>
      <c r="I407" s="1091"/>
      <c r="J407" s="1084"/>
      <c r="K407" s="1084"/>
      <c r="L407" s="932"/>
    </row>
    <row r="408" spans="1:12" s="106" customFormat="1" ht="15.75" hidden="1" customHeight="1" outlineLevel="1">
      <c r="A408" s="932"/>
      <c r="B408" s="1087"/>
      <c r="C408" s="1096"/>
      <c r="D408" s="1092"/>
      <c r="E408" s="1092"/>
      <c r="F408" s="1094"/>
      <c r="G408" s="103"/>
      <c r="H408" s="840"/>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839"/>
      <c r="I409" s="1091"/>
      <c r="J409" s="1083"/>
      <c r="K409" s="1083"/>
      <c r="L409" s="932"/>
    </row>
    <row r="410" spans="1:12" s="106" customFormat="1" ht="15.75" hidden="1" customHeight="1" outlineLevel="1">
      <c r="A410" s="932"/>
      <c r="B410" s="1086"/>
      <c r="C410" s="1095"/>
      <c r="D410" s="1091"/>
      <c r="E410" s="1091"/>
      <c r="F410" s="1093"/>
      <c r="G410" s="98"/>
      <c r="H410" s="839"/>
      <c r="I410" s="1091"/>
      <c r="J410" s="1084"/>
      <c r="K410" s="1084"/>
      <c r="L410" s="932"/>
    </row>
    <row r="411" spans="1:12" s="106" customFormat="1" ht="15.75" hidden="1" customHeight="1" outlineLevel="1">
      <c r="A411" s="932"/>
      <c r="B411" s="1087"/>
      <c r="C411" s="1096"/>
      <c r="D411" s="1092"/>
      <c r="E411" s="1092"/>
      <c r="F411" s="1094"/>
      <c r="G411" s="103"/>
      <c r="H411" s="840"/>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839"/>
      <c r="I412" s="1091"/>
      <c r="J412" s="1083"/>
      <c r="K412" s="1083"/>
      <c r="L412" s="932"/>
    </row>
    <row r="413" spans="1:12" s="106" customFormat="1" ht="15.75" hidden="1" customHeight="1" outlineLevel="1">
      <c r="A413" s="932"/>
      <c r="B413" s="1086"/>
      <c r="C413" s="1095"/>
      <c r="D413" s="1091"/>
      <c r="E413" s="1091"/>
      <c r="F413" s="1093"/>
      <c r="G413" s="98"/>
      <c r="H413" s="839"/>
      <c r="I413" s="1091"/>
      <c r="J413" s="1084"/>
      <c r="K413" s="1084"/>
      <c r="L413" s="932"/>
    </row>
    <row r="414" spans="1:12" s="106" customFormat="1" ht="15.75" hidden="1" customHeight="1" outlineLevel="1">
      <c r="A414" s="932"/>
      <c r="B414" s="1087"/>
      <c r="C414" s="1096"/>
      <c r="D414" s="1092"/>
      <c r="E414" s="1092"/>
      <c r="F414" s="1094"/>
      <c r="G414" s="103"/>
      <c r="H414" s="840"/>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839"/>
      <c r="I415" s="1091"/>
      <c r="J415" s="1083"/>
      <c r="K415" s="1083"/>
      <c r="L415" s="932"/>
    </row>
    <row r="416" spans="1:12" s="106" customFormat="1" ht="15.75" hidden="1" customHeight="1" outlineLevel="1">
      <c r="A416" s="932"/>
      <c r="B416" s="1086"/>
      <c r="C416" s="1095"/>
      <c r="D416" s="1091"/>
      <c r="E416" s="1091"/>
      <c r="F416" s="1093"/>
      <c r="G416" s="98"/>
      <c r="H416" s="839"/>
      <c r="I416" s="1091"/>
      <c r="J416" s="1084"/>
      <c r="K416" s="1084"/>
      <c r="L416" s="932"/>
    </row>
    <row r="417" spans="1:12" s="106" customFormat="1" ht="15.75" hidden="1" customHeight="1" outlineLevel="1">
      <c r="A417" s="932"/>
      <c r="B417" s="1087"/>
      <c r="C417" s="1096"/>
      <c r="D417" s="1092"/>
      <c r="E417" s="1092"/>
      <c r="F417" s="1094"/>
      <c r="G417" s="103"/>
      <c r="H417" s="840"/>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839"/>
      <c r="I418" s="1091"/>
      <c r="J418" s="1083"/>
      <c r="K418" s="1083"/>
      <c r="L418" s="932"/>
    </row>
    <row r="419" spans="1:12" s="106" customFormat="1" ht="15.75" hidden="1" customHeight="1" outlineLevel="1">
      <c r="A419" s="932"/>
      <c r="B419" s="1086"/>
      <c r="C419" s="1095"/>
      <c r="D419" s="1091"/>
      <c r="E419" s="1091"/>
      <c r="F419" s="1093"/>
      <c r="G419" s="98"/>
      <c r="H419" s="839"/>
      <c r="I419" s="1091"/>
      <c r="J419" s="1084"/>
      <c r="K419" s="1084"/>
      <c r="L419" s="932"/>
    </row>
    <row r="420" spans="1:12" s="106" customFormat="1" ht="15.75" hidden="1" customHeight="1" outlineLevel="1">
      <c r="A420" s="932"/>
      <c r="B420" s="1087"/>
      <c r="C420" s="1096"/>
      <c r="D420" s="1092"/>
      <c r="E420" s="1092"/>
      <c r="F420" s="1094"/>
      <c r="G420" s="103"/>
      <c r="H420" s="840"/>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839"/>
      <c r="I421" s="1091"/>
      <c r="J421" s="1083"/>
      <c r="K421" s="1083"/>
      <c r="L421" s="932"/>
    </row>
    <row r="422" spans="1:12" s="106" customFormat="1" ht="15.75" hidden="1" customHeight="1" outlineLevel="1">
      <c r="A422" s="932"/>
      <c r="B422" s="1086"/>
      <c r="C422" s="1095"/>
      <c r="D422" s="1091"/>
      <c r="E422" s="1091"/>
      <c r="F422" s="1093"/>
      <c r="G422" s="98"/>
      <c r="H422" s="839"/>
      <c r="I422" s="1091"/>
      <c r="J422" s="1084"/>
      <c r="K422" s="1084"/>
      <c r="L422" s="932"/>
    </row>
    <row r="423" spans="1:12" s="106" customFormat="1" ht="15.75" hidden="1" customHeight="1" outlineLevel="1">
      <c r="A423" s="932"/>
      <c r="B423" s="1087"/>
      <c r="C423" s="1096"/>
      <c r="D423" s="1092"/>
      <c r="E423" s="1092"/>
      <c r="F423" s="1094"/>
      <c r="G423" s="103"/>
      <c r="H423" s="840"/>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839"/>
      <c r="I424" s="1091"/>
      <c r="J424" s="1083"/>
      <c r="K424" s="1083"/>
      <c r="L424" s="932"/>
    </row>
    <row r="425" spans="1:12" s="106" customFormat="1" ht="15.75" hidden="1" customHeight="1" outlineLevel="1">
      <c r="A425" s="932"/>
      <c r="B425" s="1086"/>
      <c r="C425" s="1095"/>
      <c r="D425" s="1091"/>
      <c r="E425" s="1091"/>
      <c r="F425" s="1093"/>
      <c r="G425" s="98"/>
      <c r="H425" s="839"/>
      <c r="I425" s="1091"/>
      <c r="J425" s="1084"/>
      <c r="K425" s="1084"/>
      <c r="L425" s="932"/>
    </row>
    <row r="426" spans="1:12" s="106" customFormat="1" ht="15.75" hidden="1" customHeight="1" outlineLevel="1">
      <c r="A426" s="932"/>
      <c r="B426" s="1087"/>
      <c r="C426" s="1096"/>
      <c r="D426" s="1092"/>
      <c r="E426" s="1092"/>
      <c r="F426" s="1094"/>
      <c r="G426" s="103"/>
      <c r="H426" s="840"/>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839"/>
      <c r="I427" s="1091"/>
      <c r="J427" s="1083"/>
      <c r="K427" s="1083"/>
      <c r="L427" s="932"/>
    </row>
    <row r="428" spans="1:12" s="106" customFormat="1" ht="15.75" hidden="1" customHeight="1" outlineLevel="1">
      <c r="A428" s="932"/>
      <c r="B428" s="1086"/>
      <c r="C428" s="1095"/>
      <c r="D428" s="1091"/>
      <c r="E428" s="1091"/>
      <c r="F428" s="1093"/>
      <c r="G428" s="98"/>
      <c r="H428" s="839"/>
      <c r="I428" s="1091"/>
      <c r="J428" s="1084"/>
      <c r="K428" s="1084"/>
      <c r="L428" s="932"/>
    </row>
    <row r="429" spans="1:12" s="106" customFormat="1" ht="15.75" hidden="1" customHeight="1" outlineLevel="1">
      <c r="A429" s="932"/>
      <c r="B429" s="1087"/>
      <c r="C429" s="1096"/>
      <c r="D429" s="1092"/>
      <c r="E429" s="1092"/>
      <c r="F429" s="1094"/>
      <c r="G429" s="103"/>
      <c r="H429" s="840"/>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839"/>
      <c r="I430" s="1091"/>
      <c r="J430" s="1083"/>
      <c r="K430" s="1083"/>
      <c r="L430" s="932"/>
    </row>
    <row r="431" spans="1:12" s="106" customFormat="1" ht="15.75" hidden="1" customHeight="1" outlineLevel="1">
      <c r="A431" s="932"/>
      <c r="B431" s="1086"/>
      <c r="C431" s="1095"/>
      <c r="D431" s="1091"/>
      <c r="E431" s="1091"/>
      <c r="F431" s="1093"/>
      <c r="G431" s="98"/>
      <c r="H431" s="839"/>
      <c r="I431" s="1091"/>
      <c r="J431" s="1084"/>
      <c r="K431" s="1084"/>
      <c r="L431" s="932"/>
    </row>
    <row r="432" spans="1:12" s="106" customFormat="1" ht="15.75" hidden="1" customHeight="1" outlineLevel="1">
      <c r="A432" s="932"/>
      <c r="B432" s="1087"/>
      <c r="C432" s="1096"/>
      <c r="D432" s="1092"/>
      <c r="E432" s="1092"/>
      <c r="F432" s="1094"/>
      <c r="G432" s="103"/>
      <c r="H432" s="840"/>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839"/>
      <c r="I433" s="1091"/>
      <c r="J433" s="1083"/>
      <c r="K433" s="1083"/>
      <c r="L433" s="932"/>
    </row>
    <row r="434" spans="1:12" s="106" customFormat="1" ht="15.75" hidden="1" customHeight="1" outlineLevel="1">
      <c r="A434" s="932"/>
      <c r="B434" s="1086"/>
      <c r="C434" s="1095"/>
      <c r="D434" s="1091"/>
      <c r="E434" s="1091"/>
      <c r="F434" s="1093"/>
      <c r="G434" s="98"/>
      <c r="H434" s="839"/>
      <c r="I434" s="1091"/>
      <c r="J434" s="1084"/>
      <c r="K434" s="1084"/>
      <c r="L434" s="932"/>
    </row>
    <row r="435" spans="1:12" s="106" customFormat="1" ht="15.75" hidden="1" customHeight="1" outlineLevel="1">
      <c r="A435" s="932"/>
      <c r="B435" s="1087"/>
      <c r="C435" s="1096"/>
      <c r="D435" s="1092"/>
      <c r="E435" s="1092"/>
      <c r="F435" s="1094"/>
      <c r="G435" s="103"/>
      <c r="H435" s="840"/>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839"/>
      <c r="I436" s="1091"/>
      <c r="J436" s="1083"/>
      <c r="K436" s="1083"/>
      <c r="L436" s="932"/>
    </row>
    <row r="437" spans="1:12" s="106" customFormat="1" ht="15.75" hidden="1" customHeight="1" outlineLevel="1">
      <c r="A437" s="932"/>
      <c r="B437" s="1086"/>
      <c r="C437" s="1095"/>
      <c r="D437" s="1091"/>
      <c r="E437" s="1091"/>
      <c r="F437" s="1093"/>
      <c r="G437" s="98"/>
      <c r="H437" s="839"/>
      <c r="I437" s="1091"/>
      <c r="J437" s="1084"/>
      <c r="K437" s="1084"/>
      <c r="L437" s="932"/>
    </row>
    <row r="438" spans="1:12" s="106" customFormat="1" ht="15.75" hidden="1" customHeight="1" outlineLevel="1">
      <c r="A438" s="932"/>
      <c r="B438" s="1087"/>
      <c r="C438" s="1096"/>
      <c r="D438" s="1092"/>
      <c r="E438" s="1092"/>
      <c r="F438" s="1094"/>
      <c r="G438" s="103"/>
      <c r="H438" s="840"/>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839"/>
      <c r="I439" s="1091"/>
      <c r="J439" s="1083"/>
      <c r="K439" s="1083"/>
      <c r="L439" s="932"/>
    </row>
    <row r="440" spans="1:12" s="106" customFormat="1" ht="15.75" hidden="1" customHeight="1" outlineLevel="1">
      <c r="A440" s="932"/>
      <c r="B440" s="1086"/>
      <c r="C440" s="1095"/>
      <c r="D440" s="1091"/>
      <c r="E440" s="1091"/>
      <c r="F440" s="1093"/>
      <c r="G440" s="98"/>
      <c r="H440" s="839"/>
      <c r="I440" s="1091"/>
      <c r="J440" s="1084"/>
      <c r="K440" s="1084"/>
      <c r="L440" s="932"/>
    </row>
    <row r="441" spans="1:12" s="106" customFormat="1" ht="15.75" hidden="1" customHeight="1" outlineLevel="1">
      <c r="A441" s="932"/>
      <c r="B441" s="1087"/>
      <c r="C441" s="1096"/>
      <c r="D441" s="1092"/>
      <c r="E441" s="1092"/>
      <c r="F441" s="1094"/>
      <c r="G441" s="103"/>
      <c r="H441" s="840"/>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839"/>
      <c r="I442" s="1091"/>
      <c r="J442" s="1083"/>
      <c r="K442" s="1083"/>
      <c r="L442" s="932"/>
    </row>
    <row r="443" spans="1:12" s="106" customFormat="1" ht="15.75" hidden="1" customHeight="1" outlineLevel="1">
      <c r="A443" s="932"/>
      <c r="B443" s="1086"/>
      <c r="C443" s="1095"/>
      <c r="D443" s="1091"/>
      <c r="E443" s="1091"/>
      <c r="F443" s="1093"/>
      <c r="G443" s="98"/>
      <c r="H443" s="839"/>
      <c r="I443" s="1091"/>
      <c r="J443" s="1084"/>
      <c r="K443" s="1084"/>
      <c r="L443" s="932"/>
    </row>
    <row r="444" spans="1:12" s="106" customFormat="1" ht="15.75" hidden="1" customHeight="1" outlineLevel="1">
      <c r="A444" s="932"/>
      <c r="B444" s="1087"/>
      <c r="C444" s="1096"/>
      <c r="D444" s="1092"/>
      <c r="E444" s="1092"/>
      <c r="F444" s="1094"/>
      <c r="G444" s="103"/>
      <c r="H444" s="840"/>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839"/>
      <c r="I445" s="1091"/>
      <c r="J445" s="1083"/>
      <c r="K445" s="1083"/>
      <c r="L445" s="932"/>
    </row>
    <row r="446" spans="1:12" s="106" customFormat="1" ht="15.75" hidden="1" customHeight="1" outlineLevel="1">
      <c r="A446" s="932"/>
      <c r="B446" s="1086"/>
      <c r="C446" s="1095"/>
      <c r="D446" s="1091"/>
      <c r="E446" s="1091"/>
      <c r="F446" s="1093"/>
      <c r="G446" s="98"/>
      <c r="H446" s="839"/>
      <c r="I446" s="1091"/>
      <c r="J446" s="1084"/>
      <c r="K446" s="1084"/>
      <c r="L446" s="932"/>
    </row>
    <row r="447" spans="1:12" s="106" customFormat="1" ht="15.75" hidden="1" customHeight="1" outlineLevel="1">
      <c r="A447" s="932"/>
      <c r="B447" s="1087"/>
      <c r="C447" s="1096"/>
      <c r="D447" s="1092"/>
      <c r="E447" s="1092"/>
      <c r="F447" s="1094"/>
      <c r="G447" s="103"/>
      <c r="H447" s="840"/>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839"/>
      <c r="I448" s="1091"/>
      <c r="J448" s="1083"/>
      <c r="K448" s="1083"/>
      <c r="L448" s="932"/>
    </row>
    <row r="449" spans="1:12" s="106" customFormat="1" ht="15.75" hidden="1" customHeight="1" outlineLevel="1">
      <c r="A449" s="932"/>
      <c r="B449" s="1086"/>
      <c r="C449" s="1095"/>
      <c r="D449" s="1091"/>
      <c r="E449" s="1091"/>
      <c r="F449" s="1093"/>
      <c r="G449" s="98"/>
      <c r="H449" s="839"/>
      <c r="I449" s="1091"/>
      <c r="J449" s="1084"/>
      <c r="K449" s="1084"/>
      <c r="L449" s="932"/>
    </row>
    <row r="450" spans="1:12" s="106" customFormat="1" ht="15.75" hidden="1" customHeight="1" outlineLevel="1">
      <c r="A450" s="932"/>
      <c r="B450" s="1087"/>
      <c r="C450" s="1096"/>
      <c r="D450" s="1092"/>
      <c r="E450" s="1092"/>
      <c r="F450" s="1094"/>
      <c r="G450" s="103"/>
      <c r="H450" s="840"/>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839"/>
      <c r="I451" s="1091"/>
      <c r="J451" s="1083"/>
      <c r="K451" s="1083"/>
      <c r="L451" s="932"/>
    </row>
    <row r="452" spans="1:12" s="106" customFormat="1" ht="15.75" hidden="1" customHeight="1" outlineLevel="1">
      <c r="A452" s="932"/>
      <c r="B452" s="1086"/>
      <c r="C452" s="1095"/>
      <c r="D452" s="1091"/>
      <c r="E452" s="1091"/>
      <c r="F452" s="1093"/>
      <c r="G452" s="98"/>
      <c r="H452" s="839"/>
      <c r="I452" s="1091"/>
      <c r="J452" s="1084"/>
      <c r="K452" s="1084"/>
      <c r="L452" s="932"/>
    </row>
    <row r="453" spans="1:12" s="106" customFormat="1" ht="15.75" hidden="1" customHeight="1" outlineLevel="1">
      <c r="A453" s="932"/>
      <c r="B453" s="1087"/>
      <c r="C453" s="1096"/>
      <c r="D453" s="1092"/>
      <c r="E453" s="1092"/>
      <c r="F453" s="1094"/>
      <c r="G453" s="103"/>
      <c r="H453" s="840"/>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839"/>
      <c r="I454" s="1091"/>
      <c r="J454" s="1083"/>
      <c r="K454" s="1083"/>
      <c r="L454" s="932"/>
    </row>
    <row r="455" spans="1:12" s="106" customFormat="1" ht="15.75" hidden="1" customHeight="1" outlineLevel="1">
      <c r="A455" s="932"/>
      <c r="B455" s="1086"/>
      <c r="C455" s="1095"/>
      <c r="D455" s="1091"/>
      <c r="E455" s="1091"/>
      <c r="F455" s="1093"/>
      <c r="G455" s="98"/>
      <c r="H455" s="839"/>
      <c r="I455" s="1091"/>
      <c r="J455" s="1084"/>
      <c r="K455" s="1084"/>
      <c r="L455" s="932"/>
    </row>
    <row r="456" spans="1:12" s="106" customFormat="1" ht="15.75" hidden="1" customHeight="1" outlineLevel="1">
      <c r="A456" s="932"/>
      <c r="B456" s="1087"/>
      <c r="C456" s="1096"/>
      <c r="D456" s="1092"/>
      <c r="E456" s="1092"/>
      <c r="F456" s="1094"/>
      <c r="G456" s="103"/>
      <c r="H456" s="840"/>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839"/>
      <c r="I457" s="1091"/>
      <c r="J457" s="1083"/>
      <c r="K457" s="1083"/>
      <c r="L457" s="932"/>
    </row>
    <row r="458" spans="1:12" s="106" customFormat="1" ht="15.75" hidden="1" customHeight="1" outlineLevel="1">
      <c r="A458" s="932"/>
      <c r="B458" s="1086"/>
      <c r="C458" s="1095"/>
      <c r="D458" s="1091"/>
      <c r="E458" s="1091"/>
      <c r="F458" s="1093"/>
      <c r="G458" s="98"/>
      <c r="H458" s="839"/>
      <c r="I458" s="1091"/>
      <c r="J458" s="1084"/>
      <c r="K458" s="1084"/>
      <c r="L458" s="932"/>
    </row>
    <row r="459" spans="1:12" s="106" customFormat="1" ht="15.75" hidden="1" customHeight="1" outlineLevel="1">
      <c r="A459" s="932"/>
      <c r="B459" s="1087"/>
      <c r="C459" s="1096"/>
      <c r="D459" s="1092"/>
      <c r="E459" s="1092"/>
      <c r="F459" s="1094"/>
      <c r="G459" s="103"/>
      <c r="H459" s="840"/>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839"/>
      <c r="I460" s="1091"/>
      <c r="J460" s="1083"/>
      <c r="K460" s="1083"/>
      <c r="L460" s="932"/>
    </row>
    <row r="461" spans="1:12" s="106" customFormat="1" ht="15.75" hidden="1" customHeight="1" outlineLevel="1">
      <c r="A461" s="932"/>
      <c r="B461" s="1086"/>
      <c r="C461" s="1095"/>
      <c r="D461" s="1091"/>
      <c r="E461" s="1091"/>
      <c r="F461" s="1093"/>
      <c r="G461" s="98"/>
      <c r="H461" s="839"/>
      <c r="I461" s="1091"/>
      <c r="J461" s="1084"/>
      <c r="K461" s="1084"/>
      <c r="L461" s="932"/>
    </row>
    <row r="462" spans="1:12" s="106" customFormat="1" ht="15.75" hidden="1" customHeight="1" outlineLevel="1">
      <c r="A462" s="932"/>
      <c r="B462" s="1087"/>
      <c r="C462" s="1096"/>
      <c r="D462" s="1092"/>
      <c r="E462" s="1092"/>
      <c r="F462" s="1094"/>
      <c r="G462" s="103"/>
      <c r="H462" s="840"/>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839"/>
      <c r="I463" s="1091"/>
      <c r="J463" s="1083"/>
      <c r="K463" s="1083"/>
      <c r="L463" s="932"/>
    </row>
    <row r="464" spans="1:12" s="106" customFormat="1" ht="15.75" hidden="1" customHeight="1" outlineLevel="1">
      <c r="A464" s="932"/>
      <c r="B464" s="1086"/>
      <c r="C464" s="1095"/>
      <c r="D464" s="1091"/>
      <c r="E464" s="1091"/>
      <c r="F464" s="1093"/>
      <c r="G464" s="98"/>
      <c r="H464" s="839"/>
      <c r="I464" s="1091"/>
      <c r="J464" s="1084"/>
      <c r="K464" s="1084"/>
      <c r="L464" s="932"/>
    </row>
    <row r="465" spans="1:12" s="106" customFormat="1" ht="15.75" hidden="1" customHeight="1" outlineLevel="1">
      <c r="A465" s="932"/>
      <c r="B465" s="1087"/>
      <c r="C465" s="1096"/>
      <c r="D465" s="1092"/>
      <c r="E465" s="1092"/>
      <c r="F465" s="1094"/>
      <c r="G465" s="103"/>
      <c r="H465" s="840"/>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839"/>
      <c r="I466" s="1091"/>
      <c r="J466" s="1083"/>
      <c r="K466" s="1083"/>
      <c r="L466" s="932"/>
    </row>
    <row r="467" spans="1:12" s="106" customFormat="1" ht="15.75" hidden="1" customHeight="1" outlineLevel="1">
      <c r="A467" s="932"/>
      <c r="B467" s="1086"/>
      <c r="C467" s="1095"/>
      <c r="D467" s="1091"/>
      <c r="E467" s="1091"/>
      <c r="F467" s="1093"/>
      <c r="G467" s="98"/>
      <c r="H467" s="839"/>
      <c r="I467" s="1091"/>
      <c r="J467" s="1084"/>
      <c r="K467" s="1084"/>
      <c r="L467" s="932"/>
    </row>
    <row r="468" spans="1:12" s="106" customFormat="1" ht="15.75" hidden="1" customHeight="1" outlineLevel="1">
      <c r="A468" s="932"/>
      <c r="B468" s="1087"/>
      <c r="C468" s="1096"/>
      <c r="D468" s="1092"/>
      <c r="E468" s="1092"/>
      <c r="F468" s="1094"/>
      <c r="G468" s="103"/>
      <c r="H468" s="840"/>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839"/>
      <c r="I469" s="1091"/>
      <c r="J469" s="1083"/>
      <c r="K469" s="1083"/>
      <c r="L469" s="932"/>
    </row>
    <row r="470" spans="1:12" s="106" customFormat="1" ht="15.75" hidden="1" customHeight="1" outlineLevel="1">
      <c r="A470" s="932"/>
      <c r="B470" s="1086"/>
      <c r="C470" s="1095"/>
      <c r="D470" s="1091"/>
      <c r="E470" s="1091"/>
      <c r="F470" s="1093"/>
      <c r="G470" s="98"/>
      <c r="H470" s="839"/>
      <c r="I470" s="1091"/>
      <c r="J470" s="1084"/>
      <c r="K470" s="1084"/>
      <c r="L470" s="932"/>
    </row>
    <row r="471" spans="1:12" s="106" customFormat="1" ht="15.75" hidden="1" customHeight="1" outlineLevel="1">
      <c r="A471" s="932"/>
      <c r="B471" s="1087"/>
      <c r="C471" s="1096"/>
      <c r="D471" s="1092"/>
      <c r="E471" s="1092"/>
      <c r="F471" s="1094"/>
      <c r="G471" s="103"/>
      <c r="H471" s="840"/>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839"/>
      <c r="I472" s="1091"/>
      <c r="J472" s="1083"/>
      <c r="K472" s="1083"/>
      <c r="L472" s="932"/>
    </row>
    <row r="473" spans="1:12" s="106" customFormat="1" ht="15.75" hidden="1" customHeight="1" outlineLevel="1">
      <c r="A473" s="932"/>
      <c r="B473" s="1086"/>
      <c r="C473" s="1095"/>
      <c r="D473" s="1091"/>
      <c r="E473" s="1091"/>
      <c r="F473" s="1093"/>
      <c r="G473" s="98"/>
      <c r="H473" s="839"/>
      <c r="I473" s="1091"/>
      <c r="J473" s="1084"/>
      <c r="K473" s="1084"/>
      <c r="L473" s="932"/>
    </row>
    <row r="474" spans="1:12" s="106" customFormat="1" ht="15.75" hidden="1" customHeight="1" outlineLevel="1">
      <c r="A474" s="932"/>
      <c r="B474" s="1087"/>
      <c r="C474" s="1096"/>
      <c r="D474" s="1092"/>
      <c r="E474" s="1092"/>
      <c r="F474" s="1094"/>
      <c r="G474" s="103"/>
      <c r="H474" s="840"/>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839"/>
      <c r="I475" s="1091"/>
      <c r="J475" s="1083"/>
      <c r="K475" s="1083"/>
      <c r="L475" s="932"/>
    </row>
    <row r="476" spans="1:12" s="106" customFormat="1" ht="15.75" hidden="1" customHeight="1" outlineLevel="1">
      <c r="A476" s="932"/>
      <c r="B476" s="1086"/>
      <c r="C476" s="1095"/>
      <c r="D476" s="1091"/>
      <c r="E476" s="1091"/>
      <c r="F476" s="1093"/>
      <c r="G476" s="98"/>
      <c r="H476" s="839"/>
      <c r="I476" s="1091"/>
      <c r="J476" s="1084"/>
      <c r="K476" s="1084"/>
      <c r="L476" s="932"/>
    </row>
    <row r="477" spans="1:12" s="106" customFormat="1" ht="15.75" hidden="1" customHeight="1" outlineLevel="1">
      <c r="A477" s="932"/>
      <c r="B477" s="1087"/>
      <c r="C477" s="1096"/>
      <c r="D477" s="1092"/>
      <c r="E477" s="1092"/>
      <c r="F477" s="1094"/>
      <c r="G477" s="103"/>
      <c r="H477" s="840"/>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839"/>
      <c r="I478" s="1091"/>
      <c r="J478" s="1083"/>
      <c r="K478" s="1083"/>
      <c r="L478" s="932"/>
    </row>
    <row r="479" spans="1:12" s="106" customFormat="1" ht="15.75" hidden="1" customHeight="1" outlineLevel="1">
      <c r="A479" s="932"/>
      <c r="B479" s="1086"/>
      <c r="C479" s="1095"/>
      <c r="D479" s="1091"/>
      <c r="E479" s="1091"/>
      <c r="F479" s="1093"/>
      <c r="G479" s="98"/>
      <c r="H479" s="839"/>
      <c r="I479" s="1091"/>
      <c r="J479" s="1084"/>
      <c r="K479" s="1084"/>
      <c r="L479" s="932"/>
    </row>
    <row r="480" spans="1:12" s="106" customFormat="1" ht="15.75" hidden="1" customHeight="1" outlineLevel="1">
      <c r="A480" s="932"/>
      <c r="B480" s="1087"/>
      <c r="C480" s="1096"/>
      <c r="D480" s="1092"/>
      <c r="E480" s="1092"/>
      <c r="F480" s="1094"/>
      <c r="G480" s="103"/>
      <c r="H480" s="840"/>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839"/>
      <c r="I481" s="1091"/>
      <c r="J481" s="1083"/>
      <c r="K481" s="1083"/>
      <c r="L481" s="932"/>
    </row>
    <row r="482" spans="1:12" s="106" customFormat="1" ht="15.75" hidden="1" customHeight="1" outlineLevel="1">
      <c r="A482" s="932"/>
      <c r="B482" s="1086"/>
      <c r="C482" s="1095"/>
      <c r="D482" s="1091"/>
      <c r="E482" s="1091"/>
      <c r="F482" s="1093"/>
      <c r="G482" s="98"/>
      <c r="H482" s="839"/>
      <c r="I482" s="1091"/>
      <c r="J482" s="1084"/>
      <c r="K482" s="1084"/>
      <c r="L482" s="932"/>
    </row>
    <row r="483" spans="1:12" s="106" customFormat="1" ht="15.75" hidden="1" customHeight="1" outlineLevel="1">
      <c r="A483" s="932"/>
      <c r="B483" s="1087"/>
      <c r="C483" s="1096"/>
      <c r="D483" s="1092"/>
      <c r="E483" s="1092"/>
      <c r="F483" s="1094"/>
      <c r="G483" s="103"/>
      <c r="H483" s="840"/>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839"/>
      <c r="I484" s="1091"/>
      <c r="J484" s="1083"/>
      <c r="K484" s="1083"/>
      <c r="L484" s="932"/>
    </row>
    <row r="485" spans="1:12" s="106" customFormat="1" ht="15.75" hidden="1" customHeight="1" outlineLevel="1">
      <c r="A485" s="932"/>
      <c r="B485" s="1086"/>
      <c r="C485" s="1095"/>
      <c r="D485" s="1091"/>
      <c r="E485" s="1091"/>
      <c r="F485" s="1093"/>
      <c r="G485" s="98"/>
      <c r="H485" s="839"/>
      <c r="I485" s="1091"/>
      <c r="J485" s="1084"/>
      <c r="K485" s="1084"/>
      <c r="L485" s="932"/>
    </row>
    <row r="486" spans="1:12" s="106" customFormat="1" ht="15.75" hidden="1" customHeight="1" outlineLevel="1">
      <c r="A486" s="932"/>
      <c r="B486" s="1087"/>
      <c r="C486" s="1096"/>
      <c r="D486" s="1092"/>
      <c r="E486" s="1092"/>
      <c r="F486" s="1094"/>
      <c r="G486" s="103"/>
      <c r="H486" s="840"/>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839"/>
      <c r="I487" s="1091"/>
      <c r="J487" s="1083"/>
      <c r="K487" s="1083"/>
      <c r="L487" s="932"/>
    </row>
    <row r="488" spans="1:12" s="106" customFormat="1" ht="15.75" hidden="1" customHeight="1" outlineLevel="1">
      <c r="A488" s="932"/>
      <c r="B488" s="1086"/>
      <c r="C488" s="1095"/>
      <c r="D488" s="1091"/>
      <c r="E488" s="1091"/>
      <c r="F488" s="1093"/>
      <c r="G488" s="98"/>
      <c r="H488" s="839"/>
      <c r="I488" s="1091"/>
      <c r="J488" s="1084"/>
      <c r="K488" s="1084"/>
      <c r="L488" s="932"/>
    </row>
    <row r="489" spans="1:12" s="106" customFormat="1" ht="15.75" hidden="1" customHeight="1" outlineLevel="1">
      <c r="A489" s="932"/>
      <c r="B489" s="1087"/>
      <c r="C489" s="1096"/>
      <c r="D489" s="1092"/>
      <c r="E489" s="1092"/>
      <c r="F489" s="1094"/>
      <c r="G489" s="103"/>
      <c r="H489" s="840"/>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839"/>
      <c r="I490" s="1091"/>
      <c r="J490" s="1083"/>
      <c r="K490" s="1083"/>
      <c r="L490" s="932"/>
    </row>
    <row r="491" spans="1:12" s="106" customFormat="1" ht="15.75" hidden="1" customHeight="1" outlineLevel="1">
      <c r="A491" s="932"/>
      <c r="B491" s="1086"/>
      <c r="C491" s="1095"/>
      <c r="D491" s="1091"/>
      <c r="E491" s="1091"/>
      <c r="F491" s="1093"/>
      <c r="G491" s="98"/>
      <c r="H491" s="839"/>
      <c r="I491" s="1091"/>
      <c r="J491" s="1084"/>
      <c r="K491" s="1084"/>
      <c r="L491" s="932"/>
    </row>
    <row r="492" spans="1:12" s="106" customFormat="1" ht="15.75" hidden="1" customHeight="1" outlineLevel="1">
      <c r="A492" s="932"/>
      <c r="B492" s="1087"/>
      <c r="C492" s="1096"/>
      <c r="D492" s="1092"/>
      <c r="E492" s="1092"/>
      <c r="F492" s="1094"/>
      <c r="G492" s="103"/>
      <c r="H492" s="840"/>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839"/>
      <c r="I493" s="1091"/>
      <c r="J493" s="1083"/>
      <c r="K493" s="1083"/>
      <c r="L493" s="932"/>
    </row>
    <row r="494" spans="1:12" s="106" customFormat="1" ht="15.75" hidden="1" customHeight="1" outlineLevel="1">
      <c r="A494" s="932"/>
      <c r="B494" s="1086"/>
      <c r="C494" s="1095"/>
      <c r="D494" s="1091"/>
      <c r="E494" s="1091"/>
      <c r="F494" s="1093"/>
      <c r="G494" s="98"/>
      <c r="H494" s="839"/>
      <c r="I494" s="1091"/>
      <c r="J494" s="1084"/>
      <c r="K494" s="1084"/>
      <c r="L494" s="932"/>
    </row>
    <row r="495" spans="1:12" s="106" customFormat="1" ht="15.75" hidden="1" customHeight="1" outlineLevel="1">
      <c r="A495" s="932"/>
      <c r="B495" s="1087"/>
      <c r="C495" s="1096"/>
      <c r="D495" s="1092"/>
      <c r="E495" s="1092"/>
      <c r="F495" s="1094"/>
      <c r="G495" s="103"/>
      <c r="H495" s="840"/>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839"/>
      <c r="I496" s="1091"/>
      <c r="J496" s="1083"/>
      <c r="K496" s="1083"/>
      <c r="L496" s="932"/>
    </row>
    <row r="497" spans="1:12" s="106" customFormat="1" ht="15.75" hidden="1" customHeight="1" outlineLevel="1">
      <c r="A497" s="932"/>
      <c r="B497" s="1086"/>
      <c r="C497" s="1095"/>
      <c r="D497" s="1091"/>
      <c r="E497" s="1091"/>
      <c r="F497" s="1093"/>
      <c r="G497" s="98"/>
      <c r="H497" s="839"/>
      <c r="I497" s="1091"/>
      <c r="J497" s="1084"/>
      <c r="K497" s="1084"/>
      <c r="L497" s="932"/>
    </row>
    <row r="498" spans="1:12" s="106" customFormat="1" ht="15.75" hidden="1" customHeight="1" outlineLevel="1">
      <c r="A498" s="932"/>
      <c r="B498" s="1087"/>
      <c r="C498" s="1096"/>
      <c r="D498" s="1092"/>
      <c r="E498" s="1092"/>
      <c r="F498" s="1094"/>
      <c r="G498" s="103"/>
      <c r="H498" s="840"/>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839"/>
      <c r="I499" s="1091"/>
      <c r="J499" s="1083"/>
      <c r="K499" s="1083"/>
      <c r="L499" s="932"/>
    </row>
    <row r="500" spans="1:12" s="106" customFormat="1" ht="15.75" hidden="1" customHeight="1" outlineLevel="1">
      <c r="A500" s="932"/>
      <c r="B500" s="1086"/>
      <c r="C500" s="1095"/>
      <c r="D500" s="1091"/>
      <c r="E500" s="1091"/>
      <c r="F500" s="1093"/>
      <c r="G500" s="98"/>
      <c r="H500" s="839"/>
      <c r="I500" s="1091"/>
      <c r="J500" s="1084"/>
      <c r="K500" s="1084"/>
      <c r="L500" s="932"/>
    </row>
    <row r="501" spans="1:12" s="106" customFormat="1" ht="15.75" hidden="1" customHeight="1" outlineLevel="1">
      <c r="A501" s="932"/>
      <c r="B501" s="1087"/>
      <c r="C501" s="1096"/>
      <c r="D501" s="1092"/>
      <c r="E501" s="1092"/>
      <c r="F501" s="1094"/>
      <c r="G501" s="103"/>
      <c r="H501" s="840"/>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839"/>
      <c r="I502" s="1091"/>
      <c r="J502" s="1083"/>
      <c r="K502" s="1083"/>
      <c r="L502" s="932"/>
    </row>
    <row r="503" spans="1:12" s="106" customFormat="1" ht="15.75" hidden="1" customHeight="1" outlineLevel="1">
      <c r="A503" s="932"/>
      <c r="B503" s="1086"/>
      <c r="C503" s="1095"/>
      <c r="D503" s="1091"/>
      <c r="E503" s="1091"/>
      <c r="F503" s="1093"/>
      <c r="G503" s="98"/>
      <c r="H503" s="839"/>
      <c r="I503" s="1091"/>
      <c r="J503" s="1084"/>
      <c r="K503" s="1084"/>
      <c r="L503" s="932"/>
    </row>
    <row r="504" spans="1:12" s="106" customFormat="1" ht="15.75" hidden="1" customHeight="1" outlineLevel="1">
      <c r="A504" s="932"/>
      <c r="B504" s="1087"/>
      <c r="C504" s="1096"/>
      <c r="D504" s="1092"/>
      <c r="E504" s="1092"/>
      <c r="F504" s="1094"/>
      <c r="G504" s="103"/>
      <c r="H504" s="840"/>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839"/>
      <c r="I505" s="1091"/>
      <c r="J505" s="1083"/>
      <c r="K505" s="1083"/>
      <c r="L505" s="932"/>
    </row>
    <row r="506" spans="1:12" s="106" customFormat="1" ht="15.75" hidden="1" customHeight="1" outlineLevel="1">
      <c r="A506" s="932"/>
      <c r="B506" s="1086"/>
      <c r="C506" s="1095"/>
      <c r="D506" s="1091"/>
      <c r="E506" s="1091"/>
      <c r="F506" s="1093"/>
      <c r="G506" s="98"/>
      <c r="H506" s="839"/>
      <c r="I506" s="1091"/>
      <c r="J506" s="1084"/>
      <c r="K506" s="1084"/>
      <c r="L506" s="932"/>
    </row>
    <row r="507" spans="1:12" s="106" customFormat="1" ht="15.75" hidden="1" customHeight="1" outlineLevel="1">
      <c r="A507" s="932"/>
      <c r="B507" s="1087"/>
      <c r="C507" s="1096"/>
      <c r="D507" s="1092"/>
      <c r="E507" s="1092"/>
      <c r="F507" s="1094"/>
      <c r="G507" s="103"/>
      <c r="H507" s="840"/>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839"/>
      <c r="I508" s="1091"/>
      <c r="J508" s="1083"/>
      <c r="K508" s="1083"/>
      <c r="L508" s="932"/>
    </row>
    <row r="509" spans="1:12" s="106" customFormat="1" ht="15.75" hidden="1" customHeight="1" outlineLevel="1">
      <c r="A509" s="932"/>
      <c r="B509" s="1086"/>
      <c r="C509" s="1095"/>
      <c r="D509" s="1091"/>
      <c r="E509" s="1091"/>
      <c r="F509" s="1093"/>
      <c r="G509" s="98"/>
      <c r="H509" s="839"/>
      <c r="I509" s="1091"/>
      <c r="J509" s="1084"/>
      <c r="K509" s="1084"/>
      <c r="L509" s="932"/>
    </row>
    <row r="510" spans="1:12" s="106" customFormat="1" ht="15.75" hidden="1" customHeight="1" outlineLevel="1">
      <c r="A510" s="932"/>
      <c r="B510" s="1087"/>
      <c r="C510" s="1096"/>
      <c r="D510" s="1092"/>
      <c r="E510" s="1092"/>
      <c r="F510" s="1094"/>
      <c r="G510" s="103"/>
      <c r="H510" s="840"/>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839"/>
      <c r="I511" s="1091"/>
      <c r="J511" s="1083"/>
      <c r="K511" s="1083"/>
      <c r="L511" s="932"/>
    </row>
    <row r="512" spans="1:12" s="106" customFormat="1" ht="15.75" hidden="1" customHeight="1" outlineLevel="1">
      <c r="A512" s="932"/>
      <c r="B512" s="1086"/>
      <c r="C512" s="1095"/>
      <c r="D512" s="1091"/>
      <c r="E512" s="1091"/>
      <c r="F512" s="1093"/>
      <c r="G512" s="98"/>
      <c r="H512" s="839"/>
      <c r="I512" s="1091"/>
      <c r="J512" s="1084"/>
      <c r="K512" s="1084"/>
      <c r="L512" s="932"/>
    </row>
    <row r="513" spans="1:12" s="106" customFormat="1" ht="15.75" hidden="1" customHeight="1" outlineLevel="1">
      <c r="A513" s="932"/>
      <c r="B513" s="1087"/>
      <c r="C513" s="1096"/>
      <c r="D513" s="1092"/>
      <c r="E513" s="1092"/>
      <c r="F513" s="1094"/>
      <c r="G513" s="103"/>
      <c r="H513" s="840"/>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839"/>
      <c r="I514" s="1091"/>
      <c r="J514" s="1083"/>
      <c r="K514" s="1083"/>
      <c r="L514" s="932"/>
    </row>
    <row r="515" spans="1:12" s="106" customFormat="1" ht="15.75" hidden="1" customHeight="1" outlineLevel="1">
      <c r="A515" s="932"/>
      <c r="B515" s="1086"/>
      <c r="C515" s="1095"/>
      <c r="D515" s="1091"/>
      <c r="E515" s="1091"/>
      <c r="F515" s="1093"/>
      <c r="G515" s="98"/>
      <c r="H515" s="839"/>
      <c r="I515" s="1091"/>
      <c r="J515" s="1084"/>
      <c r="K515" s="1084"/>
      <c r="L515" s="932"/>
    </row>
    <row r="516" spans="1:12" s="106" customFormat="1" ht="15.75" hidden="1" customHeight="1" outlineLevel="1">
      <c r="A516" s="932"/>
      <c r="B516" s="1087"/>
      <c r="C516" s="1096"/>
      <c r="D516" s="1092"/>
      <c r="E516" s="1092"/>
      <c r="F516" s="1094"/>
      <c r="G516" s="103"/>
      <c r="H516" s="840"/>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839"/>
      <c r="I517" s="1091"/>
      <c r="J517" s="1083"/>
      <c r="K517" s="1083"/>
      <c r="L517" s="932"/>
    </row>
    <row r="518" spans="1:12" s="106" customFormat="1" ht="15.75" hidden="1" customHeight="1" outlineLevel="1">
      <c r="A518" s="932"/>
      <c r="B518" s="1086"/>
      <c r="C518" s="1095"/>
      <c r="D518" s="1091"/>
      <c r="E518" s="1091"/>
      <c r="F518" s="1093"/>
      <c r="G518" s="98"/>
      <c r="H518" s="839"/>
      <c r="I518" s="1091"/>
      <c r="J518" s="1084"/>
      <c r="K518" s="1084"/>
      <c r="L518" s="932"/>
    </row>
    <row r="519" spans="1:12" s="106" customFormat="1" ht="15.75" hidden="1" customHeight="1" outlineLevel="1">
      <c r="A519" s="932"/>
      <c r="B519" s="1087"/>
      <c r="C519" s="1096"/>
      <c r="D519" s="1092"/>
      <c r="E519" s="1092"/>
      <c r="F519" s="1094"/>
      <c r="G519" s="103"/>
      <c r="H519" s="840"/>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839"/>
      <c r="I520" s="1091"/>
      <c r="J520" s="1083"/>
      <c r="K520" s="1083"/>
      <c r="L520" s="932"/>
    </row>
    <row r="521" spans="1:12" s="106" customFormat="1" ht="15.75" hidden="1" customHeight="1" outlineLevel="1">
      <c r="A521" s="932"/>
      <c r="B521" s="1086"/>
      <c r="C521" s="1095"/>
      <c r="D521" s="1091"/>
      <c r="E521" s="1091"/>
      <c r="F521" s="1093"/>
      <c r="G521" s="98"/>
      <c r="H521" s="839"/>
      <c r="I521" s="1091"/>
      <c r="J521" s="1084"/>
      <c r="K521" s="1084"/>
      <c r="L521" s="932"/>
    </row>
    <row r="522" spans="1:12" s="106" customFormat="1" ht="15.75" hidden="1" customHeight="1" outlineLevel="1">
      <c r="A522" s="932"/>
      <c r="B522" s="1087"/>
      <c r="C522" s="1096"/>
      <c r="D522" s="1092"/>
      <c r="E522" s="1092"/>
      <c r="F522" s="1094"/>
      <c r="G522" s="103"/>
      <c r="H522" s="840"/>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839"/>
      <c r="I523" s="1091"/>
      <c r="J523" s="1083"/>
      <c r="K523" s="1083"/>
      <c r="L523" s="932"/>
    </row>
    <row r="524" spans="1:12" s="106" customFormat="1" ht="15.75" hidden="1" customHeight="1" outlineLevel="1">
      <c r="A524" s="932"/>
      <c r="B524" s="1086"/>
      <c r="C524" s="1095"/>
      <c r="D524" s="1091"/>
      <c r="E524" s="1091"/>
      <c r="F524" s="1093"/>
      <c r="G524" s="98"/>
      <c r="H524" s="839"/>
      <c r="I524" s="1091"/>
      <c r="J524" s="1084"/>
      <c r="K524" s="1084"/>
      <c r="L524" s="932"/>
    </row>
    <row r="525" spans="1:12" s="106" customFormat="1" ht="15.75" hidden="1" customHeight="1" outlineLevel="1">
      <c r="A525" s="932"/>
      <c r="B525" s="1087"/>
      <c r="C525" s="1096"/>
      <c r="D525" s="1092"/>
      <c r="E525" s="1092"/>
      <c r="F525" s="1094"/>
      <c r="G525" s="103"/>
      <c r="H525" s="840"/>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839"/>
      <c r="I526" s="1091"/>
      <c r="J526" s="1083"/>
      <c r="K526" s="1083"/>
      <c r="L526" s="932"/>
    </row>
    <row r="527" spans="1:12" s="106" customFormat="1" ht="15.75" hidden="1" customHeight="1" outlineLevel="1">
      <c r="A527" s="932"/>
      <c r="B527" s="1086"/>
      <c r="C527" s="1095"/>
      <c r="D527" s="1091"/>
      <c r="E527" s="1091"/>
      <c r="F527" s="1093"/>
      <c r="G527" s="98"/>
      <c r="H527" s="839"/>
      <c r="I527" s="1091"/>
      <c r="J527" s="1084"/>
      <c r="K527" s="1084"/>
      <c r="L527" s="932"/>
    </row>
    <row r="528" spans="1:12" s="106" customFormat="1" ht="15.75" hidden="1" customHeight="1" outlineLevel="1">
      <c r="A528" s="932"/>
      <c r="B528" s="1087"/>
      <c r="C528" s="1096"/>
      <c r="D528" s="1092"/>
      <c r="E528" s="1092"/>
      <c r="F528" s="1094"/>
      <c r="G528" s="103"/>
      <c r="H528" s="840"/>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839"/>
      <c r="I529" s="1091"/>
      <c r="J529" s="1083"/>
      <c r="K529" s="1083"/>
      <c r="L529" s="932"/>
    </row>
    <row r="530" spans="1:12" s="106" customFormat="1" ht="15.75" hidden="1" customHeight="1" outlineLevel="1">
      <c r="A530" s="932"/>
      <c r="B530" s="1086"/>
      <c r="C530" s="1095"/>
      <c r="D530" s="1091"/>
      <c r="E530" s="1091"/>
      <c r="F530" s="1093"/>
      <c r="G530" s="98"/>
      <c r="H530" s="839"/>
      <c r="I530" s="1091"/>
      <c r="J530" s="1084"/>
      <c r="K530" s="1084"/>
      <c r="L530" s="932"/>
    </row>
    <row r="531" spans="1:12" s="106" customFormat="1" ht="15.75" hidden="1" customHeight="1" outlineLevel="1">
      <c r="A531" s="932"/>
      <c r="B531" s="1087"/>
      <c r="C531" s="1096"/>
      <c r="D531" s="1092"/>
      <c r="E531" s="1092"/>
      <c r="F531" s="1094"/>
      <c r="G531" s="103"/>
      <c r="H531" s="840"/>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839"/>
      <c r="I532" s="1091"/>
      <c r="J532" s="1083"/>
      <c r="K532" s="1083"/>
      <c r="L532" s="932"/>
    </row>
    <row r="533" spans="1:12" s="106" customFormat="1" ht="15.75" hidden="1" customHeight="1" outlineLevel="1">
      <c r="A533" s="932"/>
      <c r="B533" s="1086"/>
      <c r="C533" s="1095"/>
      <c r="D533" s="1091"/>
      <c r="E533" s="1091"/>
      <c r="F533" s="1093"/>
      <c r="G533" s="98"/>
      <c r="H533" s="839"/>
      <c r="I533" s="1091"/>
      <c r="J533" s="1084"/>
      <c r="K533" s="1084"/>
      <c r="L533" s="932"/>
    </row>
    <row r="534" spans="1:12" s="106" customFormat="1" ht="15.75" hidden="1" customHeight="1" outlineLevel="1">
      <c r="A534" s="932"/>
      <c r="B534" s="1087"/>
      <c r="C534" s="1096"/>
      <c r="D534" s="1092"/>
      <c r="E534" s="1092"/>
      <c r="F534" s="1094"/>
      <c r="G534" s="103"/>
      <c r="H534" s="840"/>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839"/>
      <c r="I535" s="1091"/>
      <c r="J535" s="1083"/>
      <c r="K535" s="1083"/>
      <c r="L535" s="932"/>
    </row>
    <row r="536" spans="1:12" s="106" customFormat="1" ht="15.75" hidden="1" customHeight="1" outlineLevel="1">
      <c r="A536" s="932"/>
      <c r="B536" s="1086"/>
      <c r="C536" s="1095"/>
      <c r="D536" s="1091"/>
      <c r="E536" s="1091"/>
      <c r="F536" s="1093"/>
      <c r="G536" s="98"/>
      <c r="H536" s="839"/>
      <c r="I536" s="1091"/>
      <c r="J536" s="1084"/>
      <c r="K536" s="1084"/>
      <c r="L536" s="932"/>
    </row>
    <row r="537" spans="1:12" s="106" customFormat="1" ht="15.75" hidden="1" customHeight="1" outlineLevel="1">
      <c r="A537" s="932"/>
      <c r="B537" s="1087"/>
      <c r="C537" s="1096"/>
      <c r="D537" s="1092"/>
      <c r="E537" s="1092"/>
      <c r="F537" s="1094"/>
      <c r="G537" s="103"/>
      <c r="H537" s="840"/>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839"/>
      <c r="I538" s="1091"/>
      <c r="J538" s="1083"/>
      <c r="K538" s="1083"/>
      <c r="L538" s="932"/>
    </row>
    <row r="539" spans="1:12" s="106" customFormat="1" ht="15.75" hidden="1" customHeight="1" outlineLevel="1">
      <c r="A539" s="932"/>
      <c r="B539" s="1086"/>
      <c r="C539" s="1095"/>
      <c r="D539" s="1091"/>
      <c r="E539" s="1091"/>
      <c r="F539" s="1093"/>
      <c r="G539" s="98"/>
      <c r="H539" s="839"/>
      <c r="I539" s="1091"/>
      <c r="J539" s="1084"/>
      <c r="K539" s="1084"/>
      <c r="L539" s="932"/>
    </row>
    <row r="540" spans="1:12" s="106" customFormat="1" ht="15.75" hidden="1" customHeight="1" outlineLevel="1">
      <c r="A540" s="932"/>
      <c r="B540" s="1087"/>
      <c r="C540" s="1096"/>
      <c r="D540" s="1092"/>
      <c r="E540" s="1092"/>
      <c r="F540" s="1094"/>
      <c r="G540" s="103"/>
      <c r="H540" s="840"/>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839"/>
      <c r="I541" s="1091"/>
      <c r="J541" s="1083"/>
      <c r="K541" s="1083"/>
      <c r="L541" s="932"/>
    </row>
    <row r="542" spans="1:12" s="106" customFormat="1" ht="15.75" hidden="1" customHeight="1" outlineLevel="1">
      <c r="A542" s="932"/>
      <c r="B542" s="1086"/>
      <c r="C542" s="1095"/>
      <c r="D542" s="1091"/>
      <c r="E542" s="1091"/>
      <c r="F542" s="1093"/>
      <c r="G542" s="98"/>
      <c r="H542" s="839"/>
      <c r="I542" s="1091"/>
      <c r="J542" s="1084"/>
      <c r="K542" s="1084"/>
      <c r="L542" s="932"/>
    </row>
    <row r="543" spans="1:12" s="106" customFormat="1" ht="15.75" hidden="1" customHeight="1" outlineLevel="1">
      <c r="A543" s="932"/>
      <c r="B543" s="1087"/>
      <c r="C543" s="1096"/>
      <c r="D543" s="1092"/>
      <c r="E543" s="1092"/>
      <c r="F543" s="1094"/>
      <c r="G543" s="103"/>
      <c r="H543" s="840"/>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839"/>
      <c r="I544" s="1091"/>
      <c r="J544" s="1083"/>
      <c r="K544" s="1083"/>
      <c r="L544" s="932"/>
    </row>
    <row r="545" spans="1:12" s="106" customFormat="1" ht="15.75" hidden="1" customHeight="1" outlineLevel="1">
      <c r="A545" s="932"/>
      <c r="B545" s="1086"/>
      <c r="C545" s="1095"/>
      <c r="D545" s="1091"/>
      <c r="E545" s="1091"/>
      <c r="F545" s="1093"/>
      <c r="G545" s="98"/>
      <c r="H545" s="839"/>
      <c r="I545" s="1091"/>
      <c r="J545" s="1084"/>
      <c r="K545" s="1084"/>
      <c r="L545" s="932"/>
    </row>
    <row r="546" spans="1:12" s="106" customFormat="1" ht="15.75" hidden="1" customHeight="1" outlineLevel="1">
      <c r="A546" s="932"/>
      <c r="B546" s="1087"/>
      <c r="C546" s="1096"/>
      <c r="D546" s="1092"/>
      <c r="E546" s="1092"/>
      <c r="F546" s="1094"/>
      <c r="G546" s="103"/>
      <c r="H546" s="840"/>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839"/>
      <c r="I547" s="1091"/>
      <c r="J547" s="1083"/>
      <c r="K547" s="1083"/>
      <c r="L547" s="932"/>
    </row>
    <row r="548" spans="1:12" s="106" customFormat="1" ht="15.75" hidden="1" customHeight="1" outlineLevel="1">
      <c r="A548" s="932"/>
      <c r="B548" s="1086"/>
      <c r="C548" s="1095"/>
      <c r="D548" s="1091"/>
      <c r="E548" s="1091"/>
      <c r="F548" s="1093"/>
      <c r="G548" s="98"/>
      <c r="H548" s="839"/>
      <c r="I548" s="1091"/>
      <c r="J548" s="1084"/>
      <c r="K548" s="1084"/>
      <c r="L548" s="932"/>
    </row>
    <row r="549" spans="1:12" s="106" customFormat="1" ht="15.75" hidden="1" customHeight="1" outlineLevel="1">
      <c r="A549" s="932"/>
      <c r="B549" s="1087"/>
      <c r="C549" s="1096"/>
      <c r="D549" s="1092"/>
      <c r="E549" s="1092"/>
      <c r="F549" s="1094"/>
      <c r="G549" s="103"/>
      <c r="H549" s="840"/>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839"/>
      <c r="I550" s="1091"/>
      <c r="J550" s="1083"/>
      <c r="K550" s="1083"/>
      <c r="L550" s="932"/>
    </row>
    <row r="551" spans="1:12" s="106" customFormat="1" ht="15.75" hidden="1" customHeight="1" outlineLevel="1">
      <c r="A551" s="932"/>
      <c r="B551" s="1086"/>
      <c r="C551" s="1095"/>
      <c r="D551" s="1091"/>
      <c r="E551" s="1091"/>
      <c r="F551" s="1093"/>
      <c r="G551" s="98"/>
      <c r="H551" s="839"/>
      <c r="I551" s="1091"/>
      <c r="J551" s="1084"/>
      <c r="K551" s="1084"/>
      <c r="L551" s="932"/>
    </row>
    <row r="552" spans="1:12" s="106" customFormat="1" ht="15.75" hidden="1" customHeight="1" outlineLevel="1">
      <c r="A552" s="932"/>
      <c r="B552" s="1087"/>
      <c r="C552" s="1096"/>
      <c r="D552" s="1092"/>
      <c r="E552" s="1092"/>
      <c r="F552" s="1094"/>
      <c r="G552" s="103"/>
      <c r="H552" s="840"/>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839"/>
      <c r="I553" s="1091"/>
      <c r="J553" s="1083"/>
      <c r="K553" s="1083"/>
      <c r="L553" s="932"/>
    </row>
    <row r="554" spans="1:12" s="106" customFormat="1" ht="15.75" hidden="1" customHeight="1" outlineLevel="1">
      <c r="A554" s="932"/>
      <c r="B554" s="1086"/>
      <c r="C554" s="1095"/>
      <c r="D554" s="1091"/>
      <c r="E554" s="1091"/>
      <c r="F554" s="1093"/>
      <c r="G554" s="98"/>
      <c r="H554" s="839"/>
      <c r="I554" s="1091"/>
      <c r="J554" s="1084"/>
      <c r="K554" s="1084"/>
      <c r="L554" s="932"/>
    </row>
    <row r="555" spans="1:12" s="106" customFormat="1" ht="15.75" hidden="1" customHeight="1" outlineLevel="1">
      <c r="A555" s="932"/>
      <c r="B555" s="1087"/>
      <c r="C555" s="1096"/>
      <c r="D555" s="1092"/>
      <c r="E555" s="1092"/>
      <c r="F555" s="1094"/>
      <c r="G555" s="103"/>
      <c r="H555" s="840"/>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839"/>
      <c r="I556" s="1091"/>
      <c r="J556" s="1083"/>
      <c r="K556" s="1083"/>
      <c r="L556" s="932"/>
    </row>
    <row r="557" spans="1:12" s="106" customFormat="1" ht="15.75" hidden="1" customHeight="1" outlineLevel="1">
      <c r="A557" s="932"/>
      <c r="B557" s="1086"/>
      <c r="C557" s="1095"/>
      <c r="D557" s="1091"/>
      <c r="E557" s="1091"/>
      <c r="F557" s="1093"/>
      <c r="G557" s="98"/>
      <c r="H557" s="839"/>
      <c r="I557" s="1091"/>
      <c r="J557" s="1084"/>
      <c r="K557" s="1084"/>
      <c r="L557" s="932"/>
    </row>
    <row r="558" spans="1:12" s="106" customFormat="1" ht="15.75" hidden="1" customHeight="1" outlineLevel="1">
      <c r="A558" s="932"/>
      <c r="B558" s="1087"/>
      <c r="C558" s="1096"/>
      <c r="D558" s="1092"/>
      <c r="E558" s="1092"/>
      <c r="F558" s="1094"/>
      <c r="G558" s="103"/>
      <c r="H558" s="840"/>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839"/>
      <c r="I559" s="1091"/>
      <c r="J559" s="1083"/>
      <c r="K559" s="1083"/>
      <c r="L559" s="932"/>
    </row>
    <row r="560" spans="1:12" s="106" customFormat="1" ht="15.75" hidden="1" customHeight="1" outlineLevel="1">
      <c r="A560" s="932"/>
      <c r="B560" s="1086"/>
      <c r="C560" s="1095"/>
      <c r="D560" s="1091"/>
      <c r="E560" s="1091"/>
      <c r="F560" s="1093"/>
      <c r="G560" s="98"/>
      <c r="H560" s="839"/>
      <c r="I560" s="1091"/>
      <c r="J560" s="1084"/>
      <c r="K560" s="1084"/>
      <c r="L560" s="932"/>
    </row>
    <row r="561" spans="1:12" s="106" customFormat="1" ht="15.75" hidden="1" customHeight="1" outlineLevel="1">
      <c r="A561" s="932"/>
      <c r="B561" s="1087"/>
      <c r="C561" s="1096"/>
      <c r="D561" s="1092"/>
      <c r="E561" s="1092"/>
      <c r="F561" s="1094"/>
      <c r="G561" s="103"/>
      <c r="H561" s="840"/>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839"/>
      <c r="I562" s="1091"/>
      <c r="J562" s="1083"/>
      <c r="K562" s="1083"/>
      <c r="L562" s="932"/>
    </row>
    <row r="563" spans="1:12" s="106" customFormat="1" ht="15.75" hidden="1" customHeight="1" outlineLevel="1">
      <c r="A563" s="932"/>
      <c r="B563" s="1086"/>
      <c r="C563" s="1095"/>
      <c r="D563" s="1091"/>
      <c r="E563" s="1091"/>
      <c r="F563" s="1093"/>
      <c r="G563" s="98"/>
      <c r="H563" s="839"/>
      <c r="I563" s="1091"/>
      <c r="J563" s="1084"/>
      <c r="K563" s="1084"/>
      <c r="L563" s="932"/>
    </row>
    <row r="564" spans="1:12" s="106" customFormat="1" ht="15.75" hidden="1" customHeight="1" outlineLevel="1">
      <c r="A564" s="932"/>
      <c r="B564" s="1087"/>
      <c r="C564" s="1096"/>
      <c r="D564" s="1092"/>
      <c r="E564" s="1092"/>
      <c r="F564" s="1094"/>
      <c r="G564" s="103"/>
      <c r="H564" s="840"/>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839"/>
      <c r="I565" s="1091"/>
      <c r="J565" s="1083"/>
      <c r="K565" s="1083"/>
      <c r="L565" s="932"/>
    </row>
    <row r="566" spans="1:12" s="106" customFormat="1" ht="15.75" hidden="1" customHeight="1" outlineLevel="1">
      <c r="A566" s="932"/>
      <c r="B566" s="1086"/>
      <c r="C566" s="1095"/>
      <c r="D566" s="1091"/>
      <c r="E566" s="1091"/>
      <c r="F566" s="1093"/>
      <c r="G566" s="98"/>
      <c r="H566" s="839"/>
      <c r="I566" s="1091"/>
      <c r="J566" s="1084"/>
      <c r="K566" s="1084"/>
      <c r="L566" s="932"/>
    </row>
    <row r="567" spans="1:12" s="106" customFormat="1" ht="15.75" hidden="1" customHeight="1" outlineLevel="1">
      <c r="A567" s="932"/>
      <c r="B567" s="1087"/>
      <c r="C567" s="1096"/>
      <c r="D567" s="1092"/>
      <c r="E567" s="1092"/>
      <c r="F567" s="1094"/>
      <c r="G567" s="103"/>
      <c r="H567" s="840"/>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839"/>
      <c r="I568" s="1091"/>
      <c r="J568" s="1083"/>
      <c r="K568" s="1083"/>
      <c r="L568" s="932"/>
    </row>
    <row r="569" spans="1:12" s="106" customFormat="1" ht="15.75" hidden="1" customHeight="1" outlineLevel="1">
      <c r="A569" s="932"/>
      <c r="B569" s="1086"/>
      <c r="C569" s="1095"/>
      <c r="D569" s="1091"/>
      <c r="E569" s="1091"/>
      <c r="F569" s="1093"/>
      <c r="G569" s="98"/>
      <c r="H569" s="839"/>
      <c r="I569" s="1091"/>
      <c r="J569" s="1084"/>
      <c r="K569" s="1084"/>
      <c r="L569" s="932"/>
    </row>
    <row r="570" spans="1:12" s="106" customFormat="1" ht="15.75" hidden="1" customHeight="1" outlineLevel="1">
      <c r="A570" s="932"/>
      <c r="B570" s="1087"/>
      <c r="C570" s="1096"/>
      <c r="D570" s="1092"/>
      <c r="E570" s="1092"/>
      <c r="F570" s="1094"/>
      <c r="G570" s="103"/>
      <c r="H570" s="840"/>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839"/>
      <c r="I571" s="1091"/>
      <c r="J571" s="1083"/>
      <c r="K571" s="1083"/>
      <c r="L571" s="932"/>
    </row>
    <row r="572" spans="1:12" s="106" customFormat="1" ht="15.75" hidden="1" customHeight="1" outlineLevel="1">
      <c r="A572" s="932"/>
      <c r="B572" s="1086"/>
      <c r="C572" s="1095"/>
      <c r="D572" s="1091"/>
      <c r="E572" s="1091"/>
      <c r="F572" s="1093"/>
      <c r="G572" s="98"/>
      <c r="H572" s="839"/>
      <c r="I572" s="1091"/>
      <c r="J572" s="1084"/>
      <c r="K572" s="1084"/>
      <c r="L572" s="932"/>
    </row>
    <row r="573" spans="1:12" s="106" customFormat="1" ht="15.75" hidden="1" customHeight="1" outlineLevel="1">
      <c r="A573" s="932"/>
      <c r="B573" s="1087"/>
      <c r="C573" s="1096"/>
      <c r="D573" s="1092"/>
      <c r="E573" s="1092"/>
      <c r="F573" s="1094"/>
      <c r="G573" s="103"/>
      <c r="H573" s="840"/>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839"/>
      <c r="I574" s="1091"/>
      <c r="J574" s="1083"/>
      <c r="K574" s="1083"/>
      <c r="L574" s="932"/>
    </row>
    <row r="575" spans="1:12" s="106" customFormat="1" ht="15.75" hidden="1" customHeight="1" outlineLevel="1">
      <c r="A575" s="932"/>
      <c r="B575" s="1086"/>
      <c r="C575" s="1095"/>
      <c r="D575" s="1091"/>
      <c r="E575" s="1091"/>
      <c r="F575" s="1093"/>
      <c r="G575" s="98"/>
      <c r="H575" s="839"/>
      <c r="I575" s="1091"/>
      <c r="J575" s="1084"/>
      <c r="K575" s="1084"/>
      <c r="L575" s="932"/>
    </row>
    <row r="576" spans="1:12" s="106" customFormat="1" ht="15.75" hidden="1" customHeight="1" outlineLevel="1">
      <c r="A576" s="932"/>
      <c r="B576" s="1087"/>
      <c r="C576" s="1096"/>
      <c r="D576" s="1092"/>
      <c r="E576" s="1092"/>
      <c r="F576" s="1094"/>
      <c r="G576" s="103"/>
      <c r="H576" s="840"/>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839"/>
      <c r="I577" s="1091"/>
      <c r="J577" s="1083"/>
      <c r="K577" s="1083"/>
      <c r="L577" s="932"/>
    </row>
    <row r="578" spans="1:12" s="106" customFormat="1" ht="15.75" hidden="1" customHeight="1" outlineLevel="1">
      <c r="A578" s="932"/>
      <c r="B578" s="1086"/>
      <c r="C578" s="1095"/>
      <c r="D578" s="1091"/>
      <c r="E578" s="1091"/>
      <c r="F578" s="1093"/>
      <c r="G578" s="98"/>
      <c r="H578" s="839"/>
      <c r="I578" s="1091"/>
      <c r="J578" s="1084"/>
      <c r="K578" s="1084"/>
      <c r="L578" s="932"/>
    </row>
    <row r="579" spans="1:12" s="106" customFormat="1" ht="15.75" hidden="1" customHeight="1" outlineLevel="1">
      <c r="A579" s="932"/>
      <c r="B579" s="1087"/>
      <c r="C579" s="1096"/>
      <c r="D579" s="1092"/>
      <c r="E579" s="1092"/>
      <c r="F579" s="1094"/>
      <c r="G579" s="103"/>
      <c r="H579" s="840"/>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839"/>
      <c r="I580" s="1091"/>
      <c r="J580" s="1083"/>
      <c r="K580" s="1083"/>
      <c r="L580" s="932"/>
    </row>
    <row r="581" spans="1:12" s="106" customFormat="1" ht="15.75" hidden="1" customHeight="1" outlineLevel="1">
      <c r="A581" s="932"/>
      <c r="B581" s="1086"/>
      <c r="C581" s="1095"/>
      <c r="D581" s="1091"/>
      <c r="E581" s="1091"/>
      <c r="F581" s="1093"/>
      <c r="G581" s="98"/>
      <c r="H581" s="839"/>
      <c r="I581" s="1091"/>
      <c r="J581" s="1084"/>
      <c r="K581" s="1084"/>
      <c r="L581" s="932"/>
    </row>
    <row r="582" spans="1:12" s="106" customFormat="1" ht="15.75" hidden="1" customHeight="1" outlineLevel="1">
      <c r="A582" s="932"/>
      <c r="B582" s="1087"/>
      <c r="C582" s="1096"/>
      <c r="D582" s="1092"/>
      <c r="E582" s="1092"/>
      <c r="F582" s="1094"/>
      <c r="G582" s="103"/>
      <c r="H582" s="840"/>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839"/>
      <c r="I583" s="1091"/>
      <c r="J583" s="1083"/>
      <c r="K583" s="1083"/>
      <c r="L583" s="932"/>
    </row>
    <row r="584" spans="1:12" s="106" customFormat="1" ht="15.75" hidden="1" customHeight="1" outlineLevel="1">
      <c r="A584" s="932"/>
      <c r="B584" s="1086"/>
      <c r="C584" s="1095"/>
      <c r="D584" s="1091"/>
      <c r="E584" s="1091"/>
      <c r="F584" s="1093"/>
      <c r="G584" s="98"/>
      <c r="H584" s="839"/>
      <c r="I584" s="1091"/>
      <c r="J584" s="1084"/>
      <c r="K584" s="1084"/>
      <c r="L584" s="932"/>
    </row>
    <row r="585" spans="1:12" s="106" customFormat="1" ht="15.75" hidden="1" customHeight="1" outlineLevel="1">
      <c r="A585" s="932"/>
      <c r="B585" s="1087"/>
      <c r="C585" s="1096"/>
      <c r="D585" s="1092"/>
      <c r="E585" s="1092"/>
      <c r="F585" s="1094"/>
      <c r="G585" s="103"/>
      <c r="H585" s="840"/>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839"/>
      <c r="I586" s="1091"/>
      <c r="J586" s="1083"/>
      <c r="K586" s="1083"/>
      <c r="L586" s="932"/>
    </row>
    <row r="587" spans="1:12" s="106" customFormat="1" ht="15.75" hidden="1" customHeight="1" outlineLevel="1">
      <c r="A587" s="932"/>
      <c r="B587" s="1086"/>
      <c r="C587" s="1095"/>
      <c r="D587" s="1091"/>
      <c r="E587" s="1091"/>
      <c r="F587" s="1093"/>
      <c r="G587" s="98"/>
      <c r="H587" s="839"/>
      <c r="I587" s="1091"/>
      <c r="J587" s="1084"/>
      <c r="K587" s="1084"/>
      <c r="L587" s="932"/>
    </row>
    <row r="588" spans="1:12" s="106" customFormat="1" ht="15.75" hidden="1" customHeight="1" outlineLevel="1">
      <c r="A588" s="932"/>
      <c r="B588" s="1087"/>
      <c r="C588" s="1096"/>
      <c r="D588" s="1092"/>
      <c r="E588" s="1092"/>
      <c r="F588" s="1094"/>
      <c r="G588" s="103"/>
      <c r="H588" s="840"/>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839"/>
      <c r="I589" s="1091"/>
      <c r="J589" s="1083"/>
      <c r="K589" s="1083"/>
      <c r="L589" s="932"/>
    </row>
    <row r="590" spans="1:12" s="106" customFormat="1" ht="15.75" hidden="1" customHeight="1" outlineLevel="1">
      <c r="A590" s="932"/>
      <c r="B590" s="1086"/>
      <c r="C590" s="1095"/>
      <c r="D590" s="1091"/>
      <c r="E590" s="1091"/>
      <c r="F590" s="1093"/>
      <c r="G590" s="98"/>
      <c r="H590" s="839"/>
      <c r="I590" s="1091"/>
      <c r="J590" s="1084"/>
      <c r="K590" s="1084"/>
      <c r="L590" s="932"/>
    </row>
    <row r="591" spans="1:12" s="106" customFormat="1" ht="15.75" hidden="1" customHeight="1" outlineLevel="1">
      <c r="A591" s="932"/>
      <c r="B591" s="1087"/>
      <c r="C591" s="1096"/>
      <c r="D591" s="1092"/>
      <c r="E591" s="1092"/>
      <c r="F591" s="1094"/>
      <c r="G591" s="103"/>
      <c r="H591" s="840"/>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839"/>
      <c r="I592" s="1091"/>
      <c r="J592" s="1083"/>
      <c r="K592" s="1083"/>
      <c r="L592" s="932"/>
    </row>
    <row r="593" spans="1:12" s="106" customFormat="1" ht="15.75" hidden="1" customHeight="1" outlineLevel="1">
      <c r="A593" s="932"/>
      <c r="B593" s="1086"/>
      <c r="C593" s="1095"/>
      <c r="D593" s="1091"/>
      <c r="E593" s="1091"/>
      <c r="F593" s="1093"/>
      <c r="G593" s="98"/>
      <c r="H593" s="839"/>
      <c r="I593" s="1091"/>
      <c r="J593" s="1084"/>
      <c r="K593" s="1084"/>
      <c r="L593" s="932"/>
    </row>
    <row r="594" spans="1:12" s="106" customFormat="1" ht="15.75" hidden="1" customHeight="1" outlineLevel="1">
      <c r="A594" s="932"/>
      <c r="B594" s="1087"/>
      <c r="C594" s="1096"/>
      <c r="D594" s="1092"/>
      <c r="E594" s="1092"/>
      <c r="F594" s="1094"/>
      <c r="G594" s="103"/>
      <c r="H594" s="840"/>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839"/>
      <c r="I595" s="1091"/>
      <c r="J595" s="1083"/>
      <c r="K595" s="1083"/>
      <c r="L595" s="932"/>
    </row>
    <row r="596" spans="1:12" s="106" customFormat="1" ht="15.75" hidden="1" customHeight="1" outlineLevel="1">
      <c r="A596" s="932"/>
      <c r="B596" s="1086"/>
      <c r="C596" s="1095"/>
      <c r="D596" s="1091"/>
      <c r="E596" s="1091"/>
      <c r="F596" s="1093"/>
      <c r="G596" s="98"/>
      <c r="H596" s="839"/>
      <c r="I596" s="1091"/>
      <c r="J596" s="1084"/>
      <c r="K596" s="1084"/>
      <c r="L596" s="932"/>
    </row>
    <row r="597" spans="1:12" s="106" customFormat="1" ht="15.75" hidden="1" customHeight="1" outlineLevel="1">
      <c r="A597" s="932"/>
      <c r="B597" s="1087"/>
      <c r="C597" s="1096"/>
      <c r="D597" s="1092"/>
      <c r="E597" s="1092"/>
      <c r="F597" s="1094"/>
      <c r="G597" s="103"/>
      <c r="H597" s="840"/>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839"/>
      <c r="I598" s="1091"/>
      <c r="J598" s="1083"/>
      <c r="K598" s="1083"/>
      <c r="L598" s="932"/>
    </row>
    <row r="599" spans="1:12" s="106" customFormat="1" ht="15.75" hidden="1" customHeight="1" outlineLevel="1">
      <c r="A599" s="932"/>
      <c r="B599" s="1086"/>
      <c r="C599" s="1095"/>
      <c r="D599" s="1091"/>
      <c r="E599" s="1091"/>
      <c r="F599" s="1093"/>
      <c r="G599" s="98"/>
      <c r="H599" s="839"/>
      <c r="I599" s="1091"/>
      <c r="J599" s="1084"/>
      <c r="K599" s="1084"/>
      <c r="L599" s="932"/>
    </row>
    <row r="600" spans="1:12" s="106" customFormat="1" ht="15.75" hidden="1" customHeight="1" outlineLevel="1">
      <c r="A600" s="932"/>
      <c r="B600" s="1087"/>
      <c r="C600" s="1096"/>
      <c r="D600" s="1092"/>
      <c r="E600" s="1092"/>
      <c r="F600" s="1094"/>
      <c r="G600" s="103"/>
      <c r="H600" s="840"/>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839"/>
      <c r="I601" s="1091"/>
      <c r="J601" s="1083"/>
      <c r="K601" s="1083"/>
      <c r="L601" s="932"/>
    </row>
    <row r="602" spans="1:12" s="106" customFormat="1" ht="15.75" hidden="1" customHeight="1" outlineLevel="1">
      <c r="A602" s="932"/>
      <c r="B602" s="1086"/>
      <c r="C602" s="1095"/>
      <c r="D602" s="1091"/>
      <c r="E602" s="1091"/>
      <c r="F602" s="1093"/>
      <c r="G602" s="98"/>
      <c r="H602" s="839"/>
      <c r="I602" s="1091"/>
      <c r="J602" s="1084"/>
      <c r="K602" s="1084"/>
      <c r="L602" s="932"/>
    </row>
    <row r="603" spans="1:12" s="106" customFormat="1" ht="15.75" hidden="1" customHeight="1" outlineLevel="1">
      <c r="A603" s="932"/>
      <c r="B603" s="1087"/>
      <c r="C603" s="1096"/>
      <c r="D603" s="1092"/>
      <c r="E603" s="1092"/>
      <c r="F603" s="1094"/>
      <c r="G603" s="103"/>
      <c r="H603" s="840"/>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839"/>
      <c r="I604" s="1091"/>
      <c r="J604" s="1083"/>
      <c r="K604" s="1083"/>
      <c r="L604" s="932"/>
    </row>
    <row r="605" spans="1:12" s="106" customFormat="1" ht="15.75" hidden="1" customHeight="1" outlineLevel="1">
      <c r="A605" s="932"/>
      <c r="B605" s="1086"/>
      <c r="C605" s="1095"/>
      <c r="D605" s="1091"/>
      <c r="E605" s="1091"/>
      <c r="F605" s="1093"/>
      <c r="G605" s="98"/>
      <c r="H605" s="839"/>
      <c r="I605" s="1091"/>
      <c r="J605" s="1084"/>
      <c r="K605" s="1084"/>
      <c r="L605" s="932"/>
    </row>
    <row r="606" spans="1:12" s="106" customFormat="1" ht="15.75" hidden="1" customHeight="1" outlineLevel="1">
      <c r="A606" s="932"/>
      <c r="B606" s="1087"/>
      <c r="C606" s="1096"/>
      <c r="D606" s="1092"/>
      <c r="E606" s="1092"/>
      <c r="F606" s="1094"/>
      <c r="G606" s="103"/>
      <c r="H606" s="840"/>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839"/>
      <c r="I607" s="1091"/>
      <c r="J607" s="1083"/>
      <c r="K607" s="1083"/>
      <c r="L607" s="932"/>
    </row>
    <row r="608" spans="1:12" s="106" customFormat="1" ht="15.75" hidden="1" customHeight="1" outlineLevel="1">
      <c r="A608" s="932"/>
      <c r="B608" s="1086"/>
      <c r="C608" s="1095"/>
      <c r="D608" s="1091"/>
      <c r="E608" s="1091"/>
      <c r="F608" s="1093"/>
      <c r="G608" s="98"/>
      <c r="H608" s="839"/>
      <c r="I608" s="1091"/>
      <c r="J608" s="1084"/>
      <c r="K608" s="1084"/>
      <c r="L608" s="932"/>
    </row>
    <row r="609" spans="1:12" s="106" customFormat="1" ht="15.75" hidden="1" customHeight="1" outlineLevel="1">
      <c r="A609" s="932"/>
      <c r="B609" s="1087"/>
      <c r="C609" s="1096"/>
      <c r="D609" s="1092"/>
      <c r="E609" s="1092"/>
      <c r="F609" s="1094"/>
      <c r="G609" s="103"/>
      <c r="H609" s="840"/>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row>
    <row r="611" spans="1:12" s="106" customFormat="1" ht="15.75" hidden="1" customHeight="1" outlineLevel="1">
      <c r="A611" s="932"/>
      <c r="B611" s="1086"/>
      <c r="C611" s="1089"/>
      <c r="D611" s="1091"/>
      <c r="E611" s="1091"/>
      <c r="F611" s="1093"/>
      <c r="G611" s="98"/>
      <c r="H611" s="839"/>
      <c r="I611" s="1091"/>
      <c r="J611" s="1084"/>
      <c r="K611" s="1084"/>
      <c r="L611" s="932"/>
    </row>
    <row r="612" spans="1:12" s="106" customFormat="1" ht="15.75" hidden="1" customHeight="1" outlineLevel="1" thickBot="1">
      <c r="A612" s="932"/>
      <c r="B612" s="1087"/>
      <c r="C612" s="1090"/>
      <c r="D612" s="1092"/>
      <c r="E612" s="1092"/>
      <c r="F612" s="1094"/>
      <c r="G612" s="103"/>
      <c r="H612" s="840"/>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xr:uid="{00000000-0002-0000-1400-000000000000}">
      <formula1>$N$13:$N$17</formula1>
    </dataValidation>
  </dataValidations>
  <hyperlinks>
    <hyperlink ref="C1" location="Spis!B46" display="&gt;&gt; powrót do spisu treści" xr:uid="{00000000-0004-0000-14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5" width="10.81640625" style="81" hidden="1" customWidth="1"/>
    <col min="16" max="16" width="10.81640625" hidden="1" customWidth="1"/>
    <col min="17" max="22" width="10.81640625" customWidth="1"/>
    <col min="25" max="16384" width="15.81640625" style="81"/>
  </cols>
  <sheetData>
    <row r="1" spans="1:24">
      <c r="A1" s="914"/>
      <c r="B1" s="914"/>
      <c r="C1" s="941" t="s">
        <v>10</v>
      </c>
      <c r="D1" s="915"/>
      <c r="E1" s="916"/>
      <c r="F1" s="916"/>
      <c r="G1" s="917"/>
      <c r="H1" s="918"/>
      <c r="I1" s="919"/>
      <c r="J1" s="896"/>
      <c r="K1" s="896"/>
      <c r="L1" s="896"/>
    </row>
    <row r="2" spans="1:24" ht="9.9" customHeight="1">
      <c r="A2" s="914"/>
      <c r="B2" s="914"/>
      <c r="C2" s="940"/>
      <c r="D2" s="915"/>
      <c r="E2" s="916"/>
      <c r="F2" s="916"/>
      <c r="G2" s="917"/>
      <c r="H2" s="918"/>
      <c r="I2" s="919"/>
      <c r="J2" s="896"/>
      <c r="K2" s="896"/>
      <c r="L2" s="896"/>
    </row>
    <row r="3" spans="1:24" ht="15" customHeight="1">
      <c r="A3" s="914"/>
      <c r="B3" s="930" t="s">
        <v>14</v>
      </c>
      <c r="C3" s="1081" t="s">
        <v>21</v>
      </c>
      <c r="D3" s="1081"/>
      <c r="E3" s="1081"/>
      <c r="F3" s="1081"/>
      <c r="G3" s="1081"/>
      <c r="H3" s="1082"/>
      <c r="I3" s="919"/>
      <c r="J3" s="896"/>
      <c r="K3" s="896"/>
      <c r="L3" s="896"/>
    </row>
    <row r="4" spans="1:24" ht="15" customHeight="1">
      <c r="A4" s="914"/>
      <c r="B4" s="931" t="s">
        <v>29</v>
      </c>
      <c r="C4" s="1081" t="s">
        <v>178</v>
      </c>
      <c r="D4" s="1081"/>
      <c r="E4" s="1081"/>
      <c r="F4" s="1081"/>
      <c r="G4" s="1081"/>
      <c r="H4" s="1082"/>
      <c r="I4" s="919"/>
      <c r="J4" s="896"/>
      <c r="K4" s="896"/>
      <c r="L4" s="896"/>
    </row>
    <row r="5" spans="1:24" ht="15" customHeight="1">
      <c r="A5" s="896"/>
      <c r="B5" s="913" t="s">
        <v>30</v>
      </c>
      <c r="C5" s="1044" t="s">
        <v>107</v>
      </c>
      <c r="D5" s="1044"/>
      <c r="E5" s="1044"/>
      <c r="F5" s="1044"/>
      <c r="G5" s="1044"/>
      <c r="H5" s="1082"/>
      <c r="I5" s="919"/>
      <c r="J5" s="896"/>
      <c r="K5" s="896"/>
      <c r="L5" s="896"/>
    </row>
    <row r="6" spans="1:24" ht="50.1" customHeight="1">
      <c r="A6" s="896"/>
      <c r="B6" s="913" t="s">
        <v>37</v>
      </c>
      <c r="C6" s="1044" t="s">
        <v>179</v>
      </c>
      <c r="D6" s="1048"/>
      <c r="E6" s="1048"/>
      <c r="F6" s="1048"/>
      <c r="G6" s="1048"/>
      <c r="H6" s="1082"/>
      <c r="I6" s="919"/>
      <c r="J6" s="896"/>
      <c r="K6" s="896"/>
      <c r="L6" s="896"/>
    </row>
    <row r="7" spans="1:24" s="82" customFormat="1" ht="30" customHeight="1" thickBot="1">
      <c r="A7" s="923"/>
      <c r="B7" s="924" t="s">
        <v>183</v>
      </c>
      <c r="C7" s="927"/>
      <c r="D7" s="925"/>
      <c r="E7" s="923"/>
      <c r="F7" s="926"/>
      <c r="G7" s="927"/>
      <c r="H7" s="928"/>
      <c r="I7" s="928"/>
      <c r="J7" s="929"/>
      <c r="K7" s="929"/>
      <c r="L7" s="929"/>
      <c r="M7" s="84"/>
      <c r="P7"/>
      <c r="Q7"/>
      <c r="R7"/>
      <c r="S7"/>
      <c r="T7"/>
      <c r="U7"/>
      <c r="V7"/>
      <c r="W7"/>
      <c r="X7"/>
    </row>
    <row r="8" spans="1:24"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row>
    <row r="9" spans="1:24" ht="20.100000000000001" customHeight="1" thickBot="1">
      <c r="A9" s="896"/>
      <c r="B9" s="1110"/>
      <c r="C9" s="1080"/>
      <c r="D9" s="1080"/>
      <c r="E9" s="1080"/>
      <c r="F9" s="1080"/>
      <c r="G9" s="1080"/>
      <c r="H9" s="1080"/>
      <c r="I9" s="1077"/>
      <c r="J9" s="633">
        <f>Rok_ZPR</f>
        <v>2020</v>
      </c>
      <c r="K9" s="1076"/>
      <c r="L9" s="876"/>
      <c r="M9" s="87"/>
      <c r="N9" s="79"/>
      <c r="O9" s="79"/>
    </row>
    <row r="10" spans="1:24" ht="20.100000000000001" customHeight="1">
      <c r="A10" s="896"/>
      <c r="B10" s="1110"/>
      <c r="C10" s="1080"/>
      <c r="D10" s="1080"/>
      <c r="E10" s="1080"/>
      <c r="F10" s="1080"/>
      <c r="G10" s="1080"/>
      <c r="H10" s="1080"/>
      <c r="I10" s="1078"/>
      <c r="J10" s="633" t="str">
        <f>'Tab.G1.1-4'!$D$11</f>
        <v>[tys. zł]</v>
      </c>
      <c r="K10" s="1076"/>
      <c r="L10" s="907"/>
      <c r="M10" s="88"/>
      <c r="N10" s="79"/>
      <c r="O10" s="79"/>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c r="P13"/>
      <c r="Q13"/>
      <c r="R13"/>
      <c r="S13"/>
      <c r="T13"/>
      <c r="U13"/>
      <c r="V13"/>
      <c r="W13"/>
      <c r="X13"/>
    </row>
    <row r="14" spans="1:24" s="85" customFormat="1" ht="12.75" customHeight="1">
      <c r="A14" s="916"/>
      <c r="B14" s="1086"/>
      <c r="C14" s="1111"/>
      <c r="D14" s="1091"/>
      <c r="E14" s="1091"/>
      <c r="F14" s="1093"/>
      <c r="G14" s="98"/>
      <c r="H14" s="1091"/>
      <c r="I14" s="1091"/>
      <c r="J14" s="1084"/>
      <c r="K14" s="1084"/>
      <c r="L14" s="908"/>
      <c r="M14" s="89"/>
      <c r="N14" s="99" t="s">
        <v>24</v>
      </c>
      <c r="O14" s="100" t="s">
        <v>62</v>
      </c>
      <c r="P14"/>
      <c r="Q14"/>
      <c r="R14"/>
      <c r="S14"/>
      <c r="T14"/>
      <c r="U14"/>
      <c r="V14"/>
      <c r="W14"/>
      <c r="X14"/>
    </row>
    <row r="15" spans="1:24" s="85" customFormat="1" ht="12.75" customHeight="1">
      <c r="A15" s="916"/>
      <c r="B15" s="1087"/>
      <c r="C15" s="1112"/>
      <c r="D15" s="1092"/>
      <c r="E15" s="1092"/>
      <c r="F15" s="1094"/>
      <c r="G15" s="103"/>
      <c r="H15" s="1092"/>
      <c r="I15" s="1092"/>
      <c r="J15" s="1085"/>
      <c r="K15" s="1085"/>
      <c r="L15" s="908"/>
      <c r="M15" s="89"/>
      <c r="N15" s="99" t="s">
        <v>25</v>
      </c>
      <c r="O15" s="100" t="s">
        <v>26</v>
      </c>
      <c r="P15"/>
      <c r="Q15"/>
      <c r="R15"/>
      <c r="S15"/>
      <c r="T15"/>
      <c r="U15"/>
      <c r="V15"/>
      <c r="W15"/>
      <c r="X15"/>
    </row>
    <row r="16" spans="1:24"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c r="P16"/>
      <c r="Q16"/>
      <c r="R16"/>
      <c r="S16"/>
      <c r="T16"/>
      <c r="U16"/>
      <c r="V16"/>
      <c r="W16"/>
      <c r="X16"/>
    </row>
    <row r="17" spans="1:24" s="85" customFormat="1" ht="12.75" customHeight="1" thickBot="1">
      <c r="A17" s="916"/>
      <c r="B17" s="1086"/>
      <c r="C17" s="1095"/>
      <c r="D17" s="1091"/>
      <c r="E17" s="1091"/>
      <c r="F17" s="1093"/>
      <c r="G17" s="98"/>
      <c r="H17" s="1091"/>
      <c r="I17" s="1091"/>
      <c r="J17" s="1084"/>
      <c r="K17" s="1084"/>
      <c r="L17" s="908"/>
      <c r="M17" s="89"/>
      <c r="N17" s="104" t="s">
        <v>20</v>
      </c>
      <c r="O17" s="105" t="s">
        <v>20</v>
      </c>
      <c r="P17"/>
      <c r="Q17"/>
      <c r="R17"/>
      <c r="S17"/>
      <c r="T17"/>
      <c r="U17"/>
      <c r="V17"/>
      <c r="W17"/>
      <c r="X17"/>
    </row>
    <row r="18" spans="1:24" s="85" customFormat="1" ht="12.75" customHeight="1">
      <c r="A18" s="916"/>
      <c r="B18" s="1087"/>
      <c r="C18" s="1096"/>
      <c r="D18" s="1092"/>
      <c r="E18" s="1092"/>
      <c r="F18" s="1094"/>
      <c r="G18" s="103"/>
      <c r="H18" s="1092"/>
      <c r="I18" s="1092"/>
      <c r="J18" s="1085"/>
      <c r="K18" s="1085"/>
      <c r="L18" s="908"/>
      <c r="M18" s="89"/>
      <c r="N18" s="106"/>
      <c r="O18" s="107"/>
      <c r="P18"/>
      <c r="Q18"/>
      <c r="R18"/>
      <c r="S18"/>
      <c r="T18"/>
      <c r="U18"/>
      <c r="V18"/>
      <c r="W18"/>
      <c r="X18"/>
    </row>
    <row r="19" spans="1:24" s="85" customFormat="1" ht="12.75" customHeight="1">
      <c r="A19" s="916"/>
      <c r="B19" s="1086">
        <v>3</v>
      </c>
      <c r="C19" s="1095"/>
      <c r="D19" s="1091"/>
      <c r="E19" s="1091" t="s">
        <v>20</v>
      </c>
      <c r="F19" s="1093" t="str">
        <f>VLOOKUP(E19,$N$13:$O$17,2,0)</f>
        <v>-</v>
      </c>
      <c r="G19" s="95"/>
      <c r="H19" s="1091"/>
      <c r="I19" s="1091"/>
      <c r="J19" s="1083"/>
      <c r="K19" s="1083"/>
      <c r="L19" s="908"/>
      <c r="M19" s="89"/>
      <c r="N19" s="106"/>
      <c r="O19" s="107"/>
      <c r="P19"/>
      <c r="Q19"/>
      <c r="R19"/>
      <c r="S19"/>
      <c r="T19"/>
      <c r="U19"/>
      <c r="V19"/>
      <c r="W19"/>
      <c r="X19"/>
    </row>
    <row r="20" spans="1:24" s="85" customFormat="1" ht="12.75" customHeight="1">
      <c r="A20" s="916"/>
      <c r="B20" s="1086"/>
      <c r="C20" s="1095"/>
      <c r="D20" s="1091"/>
      <c r="E20" s="1091"/>
      <c r="F20" s="1093"/>
      <c r="G20" s="98"/>
      <c r="H20" s="1091"/>
      <c r="I20" s="1091"/>
      <c r="J20" s="1084"/>
      <c r="K20" s="1084"/>
      <c r="L20" s="908"/>
      <c r="M20" s="89"/>
      <c r="N20" s="106"/>
      <c r="O20" s="107"/>
      <c r="P20"/>
      <c r="Q20"/>
      <c r="R20"/>
      <c r="S20"/>
      <c r="T20"/>
      <c r="U20"/>
      <c r="V20"/>
      <c r="W20"/>
      <c r="X20"/>
    </row>
    <row r="21" spans="1:24" s="85" customFormat="1" ht="12.75" customHeight="1">
      <c r="A21" s="916"/>
      <c r="B21" s="1087"/>
      <c r="C21" s="1096"/>
      <c r="D21" s="1092"/>
      <c r="E21" s="1092"/>
      <c r="F21" s="1094"/>
      <c r="G21" s="103"/>
      <c r="H21" s="1092"/>
      <c r="I21" s="1092"/>
      <c r="J21" s="1085"/>
      <c r="K21" s="1085"/>
      <c r="L21" s="908"/>
      <c r="M21" s="89"/>
      <c r="N21" s="106"/>
      <c r="O21" s="107"/>
      <c r="P21"/>
      <c r="Q21"/>
      <c r="R21"/>
      <c r="S21"/>
      <c r="T21"/>
      <c r="U21"/>
      <c r="V21"/>
      <c r="W21"/>
      <c r="X21"/>
    </row>
    <row r="22" spans="1:24" s="85" customFormat="1" ht="12.75" customHeight="1">
      <c r="A22" s="916"/>
      <c r="B22" s="1086">
        <v>4</v>
      </c>
      <c r="C22" s="1095"/>
      <c r="D22" s="1091"/>
      <c r="E22" s="1091" t="s">
        <v>20</v>
      </c>
      <c r="F22" s="1093" t="str">
        <f>VLOOKUP(E22,$N$13:$O$17,2,0)</f>
        <v>-</v>
      </c>
      <c r="G22" s="95"/>
      <c r="H22" s="1091"/>
      <c r="I22" s="1091"/>
      <c r="J22" s="1083"/>
      <c r="K22" s="1083"/>
      <c r="L22" s="908"/>
      <c r="M22" s="89"/>
      <c r="N22" s="106"/>
      <c r="O22" s="107"/>
      <c r="P22"/>
      <c r="Q22"/>
      <c r="R22"/>
      <c r="S22"/>
      <c r="T22"/>
      <c r="U22"/>
      <c r="V22"/>
      <c r="W22"/>
      <c r="X22"/>
    </row>
    <row r="23" spans="1:24" s="85" customFormat="1" ht="12.75" customHeight="1">
      <c r="A23" s="916"/>
      <c r="B23" s="1086"/>
      <c r="C23" s="1095"/>
      <c r="D23" s="1091"/>
      <c r="E23" s="1091"/>
      <c r="F23" s="1093"/>
      <c r="G23" s="98"/>
      <c r="H23" s="1091"/>
      <c r="I23" s="1091"/>
      <c r="J23" s="1084"/>
      <c r="K23" s="1084"/>
      <c r="L23" s="908"/>
      <c r="M23" s="89"/>
      <c r="N23" s="106"/>
      <c r="O23" s="107"/>
      <c r="P23"/>
      <c r="Q23"/>
      <c r="R23"/>
      <c r="S23"/>
      <c r="T23"/>
      <c r="U23"/>
      <c r="V23"/>
      <c r="W23"/>
      <c r="X23"/>
    </row>
    <row r="24" spans="1:24" s="85" customFormat="1" ht="12.75" customHeight="1">
      <c r="A24" s="916"/>
      <c r="B24" s="1087"/>
      <c r="C24" s="1096"/>
      <c r="D24" s="1092"/>
      <c r="E24" s="1092"/>
      <c r="F24" s="1094"/>
      <c r="G24" s="103"/>
      <c r="H24" s="1092"/>
      <c r="I24" s="1092"/>
      <c r="J24" s="1085"/>
      <c r="K24" s="1085"/>
      <c r="L24" s="908"/>
      <c r="M24" s="89"/>
      <c r="N24" s="106"/>
      <c r="O24" s="107"/>
      <c r="P24"/>
      <c r="Q24"/>
      <c r="R24"/>
      <c r="S24"/>
      <c r="T24"/>
      <c r="U24"/>
      <c r="V24"/>
      <c r="W24"/>
      <c r="X24"/>
    </row>
    <row r="25" spans="1:24" s="85" customFormat="1" ht="12.75" customHeight="1">
      <c r="A25" s="916"/>
      <c r="B25" s="1086">
        <v>5</v>
      </c>
      <c r="C25" s="1095"/>
      <c r="D25" s="1091"/>
      <c r="E25" s="1091" t="s">
        <v>20</v>
      </c>
      <c r="F25" s="1093" t="str">
        <f>VLOOKUP(E25,$N$13:$O$17,2,0)</f>
        <v>-</v>
      </c>
      <c r="G25" s="95"/>
      <c r="H25" s="1091"/>
      <c r="I25" s="1091"/>
      <c r="J25" s="1083"/>
      <c r="K25" s="1083"/>
      <c r="L25" s="908"/>
      <c r="M25" s="89"/>
      <c r="N25" s="106"/>
      <c r="O25" s="107"/>
      <c r="P25"/>
      <c r="Q25"/>
      <c r="R25"/>
      <c r="S25"/>
      <c r="T25"/>
      <c r="U25"/>
      <c r="V25"/>
      <c r="W25"/>
      <c r="X25"/>
    </row>
    <row r="26" spans="1:24" s="85" customFormat="1" ht="12.75" customHeight="1">
      <c r="A26" s="916"/>
      <c r="B26" s="1086"/>
      <c r="C26" s="1095"/>
      <c r="D26" s="1091"/>
      <c r="E26" s="1091"/>
      <c r="F26" s="1093"/>
      <c r="G26" s="98"/>
      <c r="H26" s="1091"/>
      <c r="I26" s="1091"/>
      <c r="J26" s="1084"/>
      <c r="K26" s="1084"/>
      <c r="L26" s="908"/>
      <c r="M26" s="89"/>
      <c r="N26" s="106"/>
      <c r="O26" s="107"/>
      <c r="P26"/>
      <c r="Q26"/>
      <c r="R26"/>
      <c r="S26"/>
      <c r="T26"/>
      <c r="U26"/>
      <c r="V26"/>
      <c r="W26"/>
      <c r="X26"/>
    </row>
    <row r="27" spans="1:24" s="85" customFormat="1" ht="12.75" customHeight="1">
      <c r="A27" s="916"/>
      <c r="B27" s="1087"/>
      <c r="C27" s="1096"/>
      <c r="D27" s="1092"/>
      <c r="E27" s="1092"/>
      <c r="F27" s="1094"/>
      <c r="G27" s="103"/>
      <c r="H27" s="1092"/>
      <c r="I27" s="1092"/>
      <c r="J27" s="1085"/>
      <c r="K27" s="1085"/>
      <c r="L27" s="908"/>
      <c r="M27" s="89"/>
      <c r="N27" s="106"/>
      <c r="O27" s="107"/>
      <c r="P27"/>
      <c r="Q27"/>
      <c r="R27"/>
      <c r="S27"/>
      <c r="T27"/>
      <c r="U27"/>
      <c r="V27"/>
      <c r="W27"/>
      <c r="X27"/>
    </row>
    <row r="28" spans="1:24" s="85" customFormat="1" ht="12.75" customHeight="1">
      <c r="A28" s="916"/>
      <c r="B28" s="1086">
        <v>6</v>
      </c>
      <c r="C28" s="1095"/>
      <c r="D28" s="1091"/>
      <c r="E28" s="1091" t="s">
        <v>20</v>
      </c>
      <c r="F28" s="1093" t="str">
        <f>VLOOKUP(E28,$N$13:$O$17,2,0)</f>
        <v>-</v>
      </c>
      <c r="G28" s="95"/>
      <c r="H28" s="1091"/>
      <c r="I28" s="1091"/>
      <c r="J28" s="1083"/>
      <c r="K28" s="1083"/>
      <c r="L28" s="908"/>
      <c r="M28" s="89"/>
      <c r="N28" s="106"/>
      <c r="O28" s="107"/>
      <c r="P28"/>
      <c r="Q28"/>
      <c r="R28"/>
      <c r="S28"/>
      <c r="T28"/>
      <c r="U28"/>
      <c r="V28"/>
      <c r="W28"/>
      <c r="X28"/>
    </row>
    <row r="29" spans="1:24" s="85" customFormat="1" ht="12.75" customHeight="1">
      <c r="A29" s="916"/>
      <c r="B29" s="1086"/>
      <c r="C29" s="1095"/>
      <c r="D29" s="1091"/>
      <c r="E29" s="1091"/>
      <c r="F29" s="1093"/>
      <c r="G29" s="98"/>
      <c r="H29" s="1091"/>
      <c r="I29" s="1091"/>
      <c r="J29" s="1084"/>
      <c r="K29" s="1084"/>
      <c r="L29" s="908"/>
      <c r="M29" s="89"/>
      <c r="N29" s="106"/>
      <c r="O29" s="107"/>
      <c r="P29"/>
      <c r="Q29"/>
      <c r="R29"/>
      <c r="S29"/>
      <c r="T29"/>
      <c r="U29"/>
      <c r="V29"/>
      <c r="W29"/>
      <c r="X29"/>
    </row>
    <row r="30" spans="1:24" s="85" customFormat="1" ht="12.75" customHeight="1">
      <c r="A30" s="916"/>
      <c r="B30" s="1087"/>
      <c r="C30" s="1096"/>
      <c r="D30" s="1092"/>
      <c r="E30" s="1092"/>
      <c r="F30" s="1094"/>
      <c r="G30" s="103"/>
      <c r="H30" s="1092"/>
      <c r="I30" s="1092"/>
      <c r="J30" s="1085"/>
      <c r="K30" s="1085"/>
      <c r="L30" s="908"/>
      <c r="M30" s="89"/>
      <c r="N30" s="106"/>
      <c r="O30" s="107"/>
      <c r="P30"/>
      <c r="Q30"/>
      <c r="R30"/>
      <c r="S30"/>
      <c r="T30"/>
      <c r="U30"/>
      <c r="V30"/>
      <c r="W30"/>
      <c r="X30"/>
    </row>
    <row r="31" spans="1:24" s="85" customFormat="1" ht="12.75" customHeight="1">
      <c r="A31" s="916"/>
      <c r="B31" s="1086">
        <v>7</v>
      </c>
      <c r="C31" s="1095"/>
      <c r="D31" s="1091"/>
      <c r="E31" s="1091" t="s">
        <v>20</v>
      </c>
      <c r="F31" s="1093" t="str">
        <f>VLOOKUP(E31,$N$13:$O$17,2,0)</f>
        <v>-</v>
      </c>
      <c r="G31" s="95"/>
      <c r="H31" s="1091"/>
      <c r="I31" s="1091"/>
      <c r="J31" s="1083"/>
      <c r="K31" s="1083"/>
      <c r="L31" s="908"/>
      <c r="M31" s="89"/>
      <c r="N31" s="106"/>
      <c r="O31" s="107"/>
      <c r="P31"/>
      <c r="Q31"/>
      <c r="R31"/>
      <c r="S31"/>
      <c r="T31"/>
      <c r="U31"/>
      <c r="V31"/>
      <c r="W31"/>
      <c r="X31"/>
    </row>
    <row r="32" spans="1:24" s="85" customFormat="1" ht="12.75" customHeight="1">
      <c r="A32" s="916"/>
      <c r="B32" s="1086"/>
      <c r="C32" s="1095"/>
      <c r="D32" s="1091"/>
      <c r="E32" s="1091"/>
      <c r="F32" s="1093"/>
      <c r="G32" s="98"/>
      <c r="H32" s="1091"/>
      <c r="I32" s="1091"/>
      <c r="J32" s="1084"/>
      <c r="K32" s="1084"/>
      <c r="L32" s="908"/>
      <c r="M32" s="89"/>
      <c r="N32" s="106"/>
      <c r="O32" s="107"/>
      <c r="P32"/>
      <c r="Q32"/>
      <c r="R32"/>
      <c r="S32"/>
      <c r="T32"/>
      <c r="U32"/>
      <c r="V32"/>
      <c r="W32"/>
      <c r="X32"/>
    </row>
    <row r="33" spans="1:24" s="85" customFormat="1" ht="12.75" customHeight="1">
      <c r="A33" s="916"/>
      <c r="B33" s="1087"/>
      <c r="C33" s="1096"/>
      <c r="D33" s="1092"/>
      <c r="E33" s="1092"/>
      <c r="F33" s="1094"/>
      <c r="G33" s="103"/>
      <c r="H33" s="1092"/>
      <c r="I33" s="1092"/>
      <c r="J33" s="1085"/>
      <c r="K33" s="1085"/>
      <c r="L33" s="908"/>
      <c r="M33" s="89"/>
      <c r="N33" s="106"/>
      <c r="O33" s="107"/>
      <c r="P33"/>
      <c r="Q33"/>
      <c r="R33"/>
      <c r="S33"/>
      <c r="T33"/>
      <c r="U33"/>
      <c r="V33"/>
      <c r="W33"/>
      <c r="X33"/>
    </row>
    <row r="34" spans="1:24" s="85" customFormat="1" ht="12.75" customHeight="1">
      <c r="A34" s="916"/>
      <c r="B34" s="1086">
        <v>8</v>
      </c>
      <c r="C34" s="1095"/>
      <c r="D34" s="1091"/>
      <c r="E34" s="1091" t="s">
        <v>20</v>
      </c>
      <c r="F34" s="1093" t="str">
        <f>VLOOKUP(E34,$N$13:$O$17,2,0)</f>
        <v>-</v>
      </c>
      <c r="G34" s="95"/>
      <c r="H34" s="1091"/>
      <c r="I34" s="1091"/>
      <c r="J34" s="1083"/>
      <c r="K34" s="1083"/>
      <c r="L34" s="908"/>
      <c r="M34" s="89"/>
      <c r="N34" s="106"/>
      <c r="O34" s="107"/>
      <c r="P34"/>
      <c r="Q34"/>
      <c r="R34"/>
      <c r="S34"/>
      <c r="T34"/>
      <c r="U34"/>
      <c r="V34"/>
      <c r="W34"/>
      <c r="X34"/>
    </row>
    <row r="35" spans="1:24" s="85" customFormat="1" ht="12.75" customHeight="1">
      <c r="A35" s="916"/>
      <c r="B35" s="1086"/>
      <c r="C35" s="1095"/>
      <c r="D35" s="1091"/>
      <c r="E35" s="1091"/>
      <c r="F35" s="1093"/>
      <c r="G35" s="94"/>
      <c r="H35" s="1091"/>
      <c r="I35" s="1091"/>
      <c r="J35" s="1084"/>
      <c r="K35" s="1084"/>
      <c r="L35" s="908"/>
      <c r="M35" s="89"/>
      <c r="N35" s="106"/>
      <c r="O35" s="107"/>
      <c r="P35"/>
      <c r="Q35"/>
      <c r="R35"/>
      <c r="S35"/>
      <c r="T35"/>
      <c r="U35"/>
      <c r="V35"/>
      <c r="W35"/>
      <c r="X35"/>
    </row>
    <row r="36" spans="1:24" s="85" customFormat="1" ht="12.75" customHeight="1">
      <c r="A36" s="916"/>
      <c r="B36" s="1087"/>
      <c r="C36" s="1096"/>
      <c r="D36" s="1092"/>
      <c r="E36" s="1092"/>
      <c r="F36" s="1094"/>
      <c r="G36" s="103"/>
      <c r="H36" s="1092"/>
      <c r="I36" s="1092"/>
      <c r="J36" s="1085"/>
      <c r="K36" s="1085"/>
      <c r="L36" s="908"/>
      <c r="M36" s="89"/>
      <c r="N36" s="106"/>
      <c r="O36" s="107"/>
      <c r="P36"/>
      <c r="Q36"/>
      <c r="R36"/>
      <c r="S36"/>
      <c r="T36"/>
      <c r="U36"/>
      <c r="V36"/>
      <c r="W36"/>
      <c r="X36"/>
    </row>
    <row r="37" spans="1:24" s="85" customFormat="1" ht="12.75" customHeight="1">
      <c r="A37" s="916"/>
      <c r="B37" s="1086">
        <v>9</v>
      </c>
      <c r="C37" s="1095"/>
      <c r="D37" s="1091"/>
      <c r="E37" s="1091" t="s">
        <v>20</v>
      </c>
      <c r="F37" s="1093" t="str">
        <f>VLOOKUP(E37,$N$13:$O$17,2,0)</f>
        <v>-</v>
      </c>
      <c r="G37" s="95"/>
      <c r="H37" s="1091"/>
      <c r="I37" s="1091"/>
      <c r="J37" s="1083"/>
      <c r="K37" s="1083"/>
      <c r="L37" s="908"/>
      <c r="M37" s="89"/>
      <c r="N37" s="106"/>
      <c r="O37" s="107"/>
      <c r="P37"/>
      <c r="Q37"/>
      <c r="R37"/>
      <c r="S37"/>
      <c r="T37"/>
      <c r="U37"/>
      <c r="V37"/>
      <c r="W37"/>
      <c r="X37"/>
    </row>
    <row r="38" spans="1:24" s="85" customFormat="1" ht="12.75" customHeight="1">
      <c r="A38" s="916"/>
      <c r="B38" s="1086"/>
      <c r="C38" s="1095"/>
      <c r="D38" s="1091"/>
      <c r="E38" s="1091"/>
      <c r="F38" s="1093"/>
      <c r="G38" s="98"/>
      <c r="H38" s="1091"/>
      <c r="I38" s="1091"/>
      <c r="J38" s="1084"/>
      <c r="K38" s="1084"/>
      <c r="L38" s="908"/>
      <c r="M38" s="89"/>
      <c r="N38" s="106"/>
      <c r="O38" s="107"/>
      <c r="P38"/>
      <c r="Q38"/>
      <c r="R38"/>
      <c r="S38"/>
      <c r="T38"/>
      <c r="U38"/>
      <c r="V38"/>
      <c r="W38"/>
      <c r="X38"/>
    </row>
    <row r="39" spans="1:24" s="85" customFormat="1" ht="12.75" customHeight="1">
      <c r="A39" s="916"/>
      <c r="B39" s="1087"/>
      <c r="C39" s="1096"/>
      <c r="D39" s="1092"/>
      <c r="E39" s="1092"/>
      <c r="F39" s="1094"/>
      <c r="G39" s="103"/>
      <c r="H39" s="1092"/>
      <c r="I39" s="1092"/>
      <c r="J39" s="1085"/>
      <c r="K39" s="1085"/>
      <c r="L39" s="908"/>
      <c r="M39" s="89"/>
      <c r="N39" s="106"/>
      <c r="O39" s="107"/>
      <c r="P39"/>
      <c r="Q39"/>
      <c r="R39"/>
      <c r="S39"/>
      <c r="T39"/>
      <c r="U39"/>
      <c r="V39"/>
      <c r="W39"/>
      <c r="X39"/>
    </row>
    <row r="40" spans="1:24" s="85" customFormat="1" ht="12.75" customHeight="1">
      <c r="A40" s="916"/>
      <c r="B40" s="1086">
        <v>10</v>
      </c>
      <c r="C40" s="1095"/>
      <c r="D40" s="1091"/>
      <c r="E40" s="1091" t="s">
        <v>20</v>
      </c>
      <c r="F40" s="1093" t="str">
        <f>VLOOKUP(E40,$N$13:$O$17,2,0)</f>
        <v>-</v>
      </c>
      <c r="G40" s="95"/>
      <c r="H40" s="1091"/>
      <c r="I40" s="1091"/>
      <c r="J40" s="1083"/>
      <c r="K40" s="1083"/>
      <c r="L40" s="908"/>
      <c r="M40" s="89"/>
      <c r="N40" s="106"/>
      <c r="O40" s="107"/>
      <c r="P40"/>
      <c r="Q40"/>
      <c r="R40"/>
      <c r="S40"/>
      <c r="T40"/>
      <c r="U40"/>
      <c r="V40"/>
      <c r="W40"/>
      <c r="X40"/>
    </row>
    <row r="41" spans="1:24" s="85" customFormat="1" ht="12.75" customHeight="1">
      <c r="A41" s="916"/>
      <c r="B41" s="1086"/>
      <c r="C41" s="1095"/>
      <c r="D41" s="1091"/>
      <c r="E41" s="1091"/>
      <c r="F41" s="1093"/>
      <c r="G41" s="98"/>
      <c r="H41" s="1091"/>
      <c r="I41" s="1091"/>
      <c r="J41" s="1084"/>
      <c r="K41" s="1084"/>
      <c r="L41" s="908"/>
      <c r="M41" s="89"/>
      <c r="N41" s="106"/>
      <c r="O41" s="107"/>
      <c r="P41"/>
      <c r="Q41"/>
      <c r="R41"/>
      <c r="S41"/>
      <c r="T41"/>
      <c r="U41"/>
      <c r="V41"/>
      <c r="W41"/>
      <c r="X41"/>
    </row>
    <row r="42" spans="1:24" s="85" customFormat="1" ht="12.75" customHeight="1" thickBot="1">
      <c r="A42" s="916"/>
      <c r="B42" s="1087"/>
      <c r="C42" s="1096"/>
      <c r="D42" s="1092"/>
      <c r="E42" s="1092"/>
      <c r="F42" s="1094"/>
      <c r="G42" s="103"/>
      <c r="H42" s="1092"/>
      <c r="I42" s="1092"/>
      <c r="J42" s="1085"/>
      <c r="K42" s="1085"/>
      <c r="L42" s="908"/>
      <c r="M42" s="89"/>
      <c r="N42" s="106"/>
      <c r="O42" s="107"/>
      <c r="P42"/>
      <c r="Q42"/>
      <c r="R42"/>
      <c r="S42"/>
      <c r="T42"/>
      <c r="U42"/>
      <c r="V42"/>
      <c r="W42"/>
      <c r="X42"/>
    </row>
    <row r="43" spans="1:24" s="106" customFormat="1" ht="15.75" hidden="1" customHeight="1" outlineLevel="1">
      <c r="A43" s="932"/>
      <c r="B43" s="1086">
        <v>11</v>
      </c>
      <c r="C43" s="1095"/>
      <c r="D43" s="1091"/>
      <c r="E43" s="1091" t="s">
        <v>20</v>
      </c>
      <c r="F43" s="1093" t="str">
        <f>VLOOKUP(E43,$N$13:$O$17,2,0)</f>
        <v>-</v>
      </c>
      <c r="G43" s="95"/>
      <c r="H43" s="1091"/>
      <c r="I43" s="1091"/>
      <c r="J43" s="1083"/>
      <c r="K43" s="1083"/>
      <c r="L43" s="932"/>
      <c r="P43"/>
      <c r="Q43"/>
      <c r="R43"/>
      <c r="S43"/>
      <c r="T43"/>
      <c r="U43"/>
      <c r="V43"/>
      <c r="W43"/>
      <c r="X43"/>
    </row>
    <row r="44" spans="1:24" s="106" customFormat="1" ht="15.75" hidden="1" customHeight="1" outlineLevel="1">
      <c r="A44" s="932"/>
      <c r="B44" s="1086"/>
      <c r="C44" s="1095"/>
      <c r="D44" s="1091"/>
      <c r="E44" s="1091"/>
      <c r="F44" s="1093"/>
      <c r="G44" s="98"/>
      <c r="H44" s="1091"/>
      <c r="I44" s="1091"/>
      <c r="J44" s="1084"/>
      <c r="K44" s="1084"/>
      <c r="L44" s="932"/>
      <c r="P44"/>
      <c r="Q44"/>
      <c r="R44"/>
      <c r="S44"/>
      <c r="T44"/>
      <c r="U44"/>
      <c r="V44"/>
      <c r="W44"/>
      <c r="X44"/>
    </row>
    <row r="45" spans="1:24" s="83" customFormat="1" ht="15.75" hidden="1" customHeight="1" outlineLevel="1">
      <c r="A45" s="926"/>
      <c r="B45" s="1087"/>
      <c r="C45" s="1096"/>
      <c r="D45" s="1092"/>
      <c r="E45" s="1092"/>
      <c r="F45" s="1094"/>
      <c r="G45" s="103"/>
      <c r="H45" s="1092"/>
      <c r="I45" s="1092"/>
      <c r="J45" s="1085"/>
      <c r="K45" s="1085"/>
      <c r="L45" s="926"/>
      <c r="P45"/>
      <c r="Q45"/>
      <c r="R45"/>
      <c r="S45"/>
      <c r="T45"/>
      <c r="U45"/>
      <c r="V45"/>
      <c r="W45"/>
      <c r="X45"/>
    </row>
    <row r="46" spans="1:24" s="83" customFormat="1" ht="15.75" hidden="1" customHeight="1" outlineLevel="1">
      <c r="A46" s="926"/>
      <c r="B46" s="1086">
        <v>12</v>
      </c>
      <c r="C46" s="1095"/>
      <c r="D46" s="1091"/>
      <c r="E46" s="1091" t="s">
        <v>20</v>
      </c>
      <c r="F46" s="1093" t="str">
        <f>VLOOKUP(E46,$N$13:$O$17,2,0)</f>
        <v>-</v>
      </c>
      <c r="G46" s="95"/>
      <c r="H46" s="1091"/>
      <c r="I46" s="1091"/>
      <c r="J46" s="1083"/>
      <c r="K46" s="1083"/>
      <c r="L46" s="926"/>
      <c r="P46"/>
      <c r="Q46"/>
      <c r="R46"/>
      <c r="S46"/>
      <c r="T46"/>
      <c r="U46"/>
      <c r="V46"/>
      <c r="W46"/>
      <c r="X46"/>
    </row>
    <row r="47" spans="1:24" s="106" customFormat="1" ht="15.75" hidden="1" customHeight="1" outlineLevel="1">
      <c r="A47" s="932"/>
      <c r="B47" s="1086"/>
      <c r="C47" s="1095"/>
      <c r="D47" s="1091"/>
      <c r="E47" s="1091"/>
      <c r="F47" s="1093"/>
      <c r="G47" s="98"/>
      <c r="H47" s="1091"/>
      <c r="I47" s="1091"/>
      <c r="J47" s="1084"/>
      <c r="K47" s="1084"/>
      <c r="L47" s="932"/>
      <c r="P47"/>
      <c r="Q47"/>
      <c r="R47"/>
      <c r="S47"/>
      <c r="T47"/>
      <c r="U47"/>
      <c r="V47"/>
      <c r="W47"/>
      <c r="X47"/>
    </row>
    <row r="48" spans="1:24" s="106" customFormat="1" ht="15.75" hidden="1" customHeight="1" outlineLevel="1">
      <c r="A48" s="932"/>
      <c r="B48" s="1087"/>
      <c r="C48" s="1096"/>
      <c r="D48" s="1092"/>
      <c r="E48" s="1092"/>
      <c r="F48" s="1094"/>
      <c r="G48" s="103"/>
      <c r="H48" s="1092"/>
      <c r="I48" s="1092"/>
      <c r="J48" s="1085"/>
      <c r="K48" s="1085"/>
      <c r="L48" s="932"/>
      <c r="P48"/>
      <c r="Q48"/>
      <c r="R48"/>
      <c r="S48"/>
      <c r="T48"/>
      <c r="U48"/>
      <c r="V48"/>
      <c r="W48"/>
      <c r="X48"/>
    </row>
    <row r="49" spans="1:24" s="106" customFormat="1" ht="15.75" hidden="1" customHeight="1" outlineLevel="1">
      <c r="A49" s="932"/>
      <c r="B49" s="1086">
        <v>13</v>
      </c>
      <c r="C49" s="1095"/>
      <c r="D49" s="1091"/>
      <c r="E49" s="1091" t="s">
        <v>20</v>
      </c>
      <c r="F49" s="1093" t="str">
        <f>VLOOKUP(E49,$N$13:$O$17,2,0)</f>
        <v>-</v>
      </c>
      <c r="G49" s="95"/>
      <c r="H49" s="1091"/>
      <c r="I49" s="1091"/>
      <c r="J49" s="1083"/>
      <c r="K49" s="1083"/>
      <c r="L49" s="932"/>
      <c r="P49"/>
      <c r="Q49"/>
      <c r="R49"/>
      <c r="S49"/>
      <c r="T49"/>
      <c r="U49"/>
      <c r="V49"/>
      <c r="W49"/>
      <c r="X49"/>
    </row>
    <row r="50" spans="1:24" s="106" customFormat="1" ht="15.75" hidden="1" customHeight="1" outlineLevel="1">
      <c r="A50" s="932"/>
      <c r="B50" s="1086"/>
      <c r="C50" s="1095"/>
      <c r="D50" s="1091"/>
      <c r="E50" s="1091"/>
      <c r="F50" s="1093"/>
      <c r="G50" s="98"/>
      <c r="H50" s="1091"/>
      <c r="I50" s="1091"/>
      <c r="J50" s="1084"/>
      <c r="K50" s="1084"/>
      <c r="L50" s="932"/>
      <c r="P50"/>
      <c r="Q50"/>
      <c r="R50"/>
      <c r="S50"/>
      <c r="T50"/>
      <c r="U50"/>
      <c r="V50"/>
      <c r="W50"/>
      <c r="X50"/>
    </row>
    <row r="51" spans="1:24" s="106" customFormat="1" ht="15.75" hidden="1" customHeight="1" outlineLevel="1">
      <c r="A51" s="932"/>
      <c r="B51" s="1087"/>
      <c r="C51" s="1096"/>
      <c r="D51" s="1092"/>
      <c r="E51" s="1092"/>
      <c r="F51" s="1094"/>
      <c r="G51" s="103"/>
      <c r="H51" s="1092"/>
      <c r="I51" s="1092"/>
      <c r="J51" s="1085"/>
      <c r="K51" s="1085"/>
      <c r="L51" s="932"/>
      <c r="P51"/>
      <c r="Q51"/>
      <c r="R51"/>
      <c r="S51"/>
      <c r="T51"/>
      <c r="U51"/>
      <c r="V51"/>
      <c r="W51"/>
      <c r="X51"/>
    </row>
    <row r="52" spans="1:24" s="106" customFormat="1" ht="15.75" hidden="1" customHeight="1" outlineLevel="1">
      <c r="A52" s="932"/>
      <c r="B52" s="1086">
        <v>14</v>
      </c>
      <c r="C52" s="1095"/>
      <c r="D52" s="1091"/>
      <c r="E52" s="1091" t="s">
        <v>20</v>
      </c>
      <c r="F52" s="1093" t="str">
        <f>VLOOKUP(E52,$N$13:$O$17,2,0)</f>
        <v>-</v>
      </c>
      <c r="G52" s="95"/>
      <c r="H52" s="1091"/>
      <c r="I52" s="1091"/>
      <c r="J52" s="1083"/>
      <c r="K52" s="1083"/>
      <c r="L52" s="932"/>
      <c r="P52"/>
      <c r="Q52"/>
      <c r="R52"/>
      <c r="S52"/>
      <c r="T52"/>
      <c r="U52"/>
      <c r="V52"/>
      <c r="W52"/>
      <c r="X52"/>
    </row>
    <row r="53" spans="1:24" s="106" customFormat="1" ht="15.75" hidden="1" customHeight="1" outlineLevel="1">
      <c r="A53" s="932"/>
      <c r="B53" s="1086"/>
      <c r="C53" s="1095"/>
      <c r="D53" s="1091"/>
      <c r="E53" s="1091"/>
      <c r="F53" s="1093"/>
      <c r="G53" s="98"/>
      <c r="H53" s="1091"/>
      <c r="I53" s="1091"/>
      <c r="J53" s="1084"/>
      <c r="K53" s="1084"/>
      <c r="L53" s="932"/>
      <c r="P53"/>
      <c r="Q53"/>
      <c r="R53"/>
      <c r="S53"/>
      <c r="T53"/>
      <c r="U53"/>
      <c r="V53"/>
      <c r="W53"/>
      <c r="X53"/>
    </row>
    <row r="54" spans="1:24" s="106" customFormat="1" ht="15.75" hidden="1" customHeight="1" outlineLevel="1">
      <c r="A54" s="932"/>
      <c r="B54" s="1087"/>
      <c r="C54" s="1096"/>
      <c r="D54" s="1092"/>
      <c r="E54" s="1092"/>
      <c r="F54" s="1094"/>
      <c r="G54" s="103"/>
      <c r="H54" s="1092"/>
      <c r="I54" s="1092"/>
      <c r="J54" s="1085"/>
      <c r="K54" s="1085"/>
      <c r="L54" s="932"/>
      <c r="P54"/>
      <c r="Q54"/>
      <c r="R54"/>
      <c r="S54"/>
      <c r="T54"/>
      <c r="U54"/>
      <c r="V54"/>
      <c r="W54"/>
      <c r="X54"/>
    </row>
    <row r="55" spans="1:24" s="106" customFormat="1" ht="15.75" hidden="1" customHeight="1" outlineLevel="1">
      <c r="A55" s="932"/>
      <c r="B55" s="1086">
        <v>15</v>
      </c>
      <c r="C55" s="1095"/>
      <c r="D55" s="1091"/>
      <c r="E55" s="1091" t="s">
        <v>20</v>
      </c>
      <c r="F55" s="1093" t="str">
        <f>VLOOKUP(E55,$N$13:$O$17,2,0)</f>
        <v>-</v>
      </c>
      <c r="G55" s="95"/>
      <c r="H55" s="1091"/>
      <c r="I55" s="1091"/>
      <c r="J55" s="1083"/>
      <c r="K55" s="1083"/>
      <c r="L55" s="932"/>
      <c r="P55"/>
      <c r="Q55"/>
      <c r="R55"/>
      <c r="S55"/>
      <c r="T55"/>
      <c r="U55"/>
      <c r="V55"/>
      <c r="W55"/>
      <c r="X55"/>
    </row>
    <row r="56" spans="1:24" s="106" customFormat="1" ht="15.75" hidden="1" customHeight="1" outlineLevel="1">
      <c r="A56" s="932"/>
      <c r="B56" s="1086"/>
      <c r="C56" s="1095"/>
      <c r="D56" s="1091"/>
      <c r="E56" s="1091"/>
      <c r="F56" s="1093"/>
      <c r="G56" s="98"/>
      <c r="H56" s="1091"/>
      <c r="I56" s="1091"/>
      <c r="J56" s="1084"/>
      <c r="K56" s="1084"/>
      <c r="L56" s="932"/>
      <c r="P56"/>
      <c r="Q56"/>
      <c r="R56"/>
      <c r="S56"/>
      <c r="T56"/>
      <c r="U56"/>
      <c r="V56"/>
      <c r="W56"/>
      <c r="X56"/>
    </row>
    <row r="57" spans="1:24" s="106" customFormat="1" ht="15.75" hidden="1" customHeight="1" outlineLevel="1">
      <c r="A57" s="932"/>
      <c r="B57" s="1087"/>
      <c r="C57" s="1096"/>
      <c r="D57" s="1092"/>
      <c r="E57" s="1092"/>
      <c r="F57" s="1094"/>
      <c r="G57" s="103"/>
      <c r="H57" s="1092"/>
      <c r="I57" s="1092"/>
      <c r="J57" s="1085"/>
      <c r="K57" s="1085"/>
      <c r="L57" s="932"/>
      <c r="P57"/>
      <c r="Q57"/>
      <c r="R57"/>
      <c r="S57"/>
      <c r="T57"/>
      <c r="U57"/>
      <c r="V57"/>
      <c r="W57"/>
      <c r="X57"/>
    </row>
    <row r="58" spans="1:24" s="106" customFormat="1" ht="15.75" hidden="1" customHeight="1" outlineLevel="1">
      <c r="A58" s="932"/>
      <c r="B58" s="1086">
        <v>16</v>
      </c>
      <c r="C58" s="1095"/>
      <c r="D58" s="1091"/>
      <c r="E58" s="1091" t="s">
        <v>20</v>
      </c>
      <c r="F58" s="1093" t="e">
        <f>IF(F$25=0,0,F32/F$25)</f>
        <v>#VALUE!</v>
      </c>
      <c r="G58" s="95"/>
      <c r="H58" s="1091"/>
      <c r="I58" s="1091"/>
      <c r="J58" s="1083"/>
      <c r="K58" s="1083"/>
      <c r="L58" s="932"/>
      <c r="P58"/>
      <c r="Q58"/>
      <c r="R58"/>
      <c r="S58"/>
      <c r="T58"/>
      <c r="U58"/>
      <c r="V58"/>
      <c r="W58"/>
      <c r="X58"/>
    </row>
    <row r="59" spans="1:24" s="106" customFormat="1" ht="15.75" hidden="1" customHeight="1" outlineLevel="1">
      <c r="A59" s="932"/>
      <c r="B59" s="1086"/>
      <c r="C59" s="1095"/>
      <c r="D59" s="1091"/>
      <c r="E59" s="1091"/>
      <c r="F59" s="1093"/>
      <c r="G59" s="98"/>
      <c r="H59" s="1091"/>
      <c r="I59" s="1091"/>
      <c r="J59" s="1084"/>
      <c r="K59" s="1084"/>
      <c r="L59" s="932"/>
      <c r="P59"/>
      <c r="Q59"/>
      <c r="R59"/>
      <c r="S59"/>
      <c r="T59"/>
      <c r="U59"/>
      <c r="V59"/>
      <c r="W59"/>
      <c r="X59"/>
    </row>
    <row r="60" spans="1:24" s="106" customFormat="1" ht="15.75" hidden="1" customHeight="1" outlineLevel="1">
      <c r="A60" s="932"/>
      <c r="B60" s="1087"/>
      <c r="C60" s="1096"/>
      <c r="D60" s="1092"/>
      <c r="E60" s="1092"/>
      <c r="F60" s="1094"/>
      <c r="G60" s="103"/>
      <c r="H60" s="1092"/>
      <c r="I60" s="1092"/>
      <c r="J60" s="1085"/>
      <c r="K60" s="1085"/>
      <c r="L60" s="932"/>
      <c r="P60"/>
      <c r="Q60"/>
      <c r="R60"/>
      <c r="S60"/>
      <c r="T60"/>
      <c r="U60"/>
      <c r="V60"/>
      <c r="W60"/>
      <c r="X60"/>
    </row>
    <row r="61" spans="1:24" s="106" customFormat="1" ht="15.75" hidden="1" customHeight="1" outlineLevel="1">
      <c r="A61" s="932"/>
      <c r="B61" s="1086">
        <v>17</v>
      </c>
      <c r="C61" s="1095"/>
      <c r="D61" s="1091"/>
      <c r="E61" s="1091" t="s">
        <v>20</v>
      </c>
      <c r="F61" s="1093" t="str">
        <f>VLOOKUP(E61,$N$13:$O$17,2,0)</f>
        <v>-</v>
      </c>
      <c r="G61" s="95"/>
      <c r="H61" s="1091"/>
      <c r="I61" s="1091"/>
      <c r="J61" s="1083"/>
      <c r="K61" s="1083"/>
      <c r="L61" s="932"/>
      <c r="P61"/>
      <c r="Q61"/>
      <c r="R61"/>
      <c r="S61"/>
      <c r="T61"/>
      <c r="U61"/>
      <c r="V61"/>
      <c r="W61"/>
      <c r="X61"/>
    </row>
    <row r="62" spans="1:24" s="106" customFormat="1" ht="15.75" hidden="1" customHeight="1" outlineLevel="1">
      <c r="A62" s="932"/>
      <c r="B62" s="1086"/>
      <c r="C62" s="1095"/>
      <c r="D62" s="1091"/>
      <c r="E62" s="1091"/>
      <c r="F62" s="1093"/>
      <c r="G62" s="98"/>
      <c r="H62" s="1091"/>
      <c r="I62" s="1091"/>
      <c r="J62" s="1084"/>
      <c r="K62" s="1084"/>
      <c r="L62" s="932"/>
      <c r="P62"/>
      <c r="Q62"/>
      <c r="R62"/>
      <c r="S62"/>
      <c r="T62"/>
      <c r="U62"/>
      <c r="V62"/>
      <c r="W62"/>
      <c r="X62"/>
    </row>
    <row r="63" spans="1:24" s="106" customFormat="1" ht="15.75" hidden="1" customHeight="1" outlineLevel="1">
      <c r="A63" s="932"/>
      <c r="B63" s="1087"/>
      <c r="C63" s="1096"/>
      <c r="D63" s="1092"/>
      <c r="E63" s="1092"/>
      <c r="F63" s="1094"/>
      <c r="G63" s="103"/>
      <c r="H63" s="1092"/>
      <c r="I63" s="1092"/>
      <c r="J63" s="1085"/>
      <c r="K63" s="1085"/>
      <c r="L63" s="932"/>
      <c r="P63"/>
      <c r="Q63"/>
      <c r="R63"/>
      <c r="S63"/>
      <c r="T63"/>
      <c r="U63"/>
      <c r="V63"/>
      <c r="W63"/>
      <c r="X63"/>
    </row>
    <row r="64" spans="1:24" s="106" customFormat="1" ht="15.75" hidden="1" customHeight="1" outlineLevel="1">
      <c r="A64" s="932"/>
      <c r="B64" s="1086">
        <v>18</v>
      </c>
      <c r="C64" s="1095"/>
      <c r="D64" s="1091"/>
      <c r="E64" s="1091" t="s">
        <v>20</v>
      </c>
      <c r="F64" s="1093" t="str">
        <f>VLOOKUP(E64,$N$13:$O$17,2,0)</f>
        <v>-</v>
      </c>
      <c r="G64" s="95"/>
      <c r="H64" s="1091"/>
      <c r="I64" s="1091"/>
      <c r="J64" s="1083"/>
      <c r="K64" s="1083"/>
      <c r="L64" s="932"/>
      <c r="P64"/>
      <c r="Q64"/>
      <c r="R64"/>
      <c r="S64"/>
      <c r="T64"/>
      <c r="U64"/>
      <c r="V64"/>
      <c r="W64"/>
      <c r="X64"/>
    </row>
    <row r="65" spans="1:24" s="106" customFormat="1" ht="15.75" hidden="1" customHeight="1" outlineLevel="1">
      <c r="A65" s="932"/>
      <c r="B65" s="1086"/>
      <c r="C65" s="1095"/>
      <c r="D65" s="1091"/>
      <c r="E65" s="1091"/>
      <c r="F65" s="1093"/>
      <c r="G65" s="98"/>
      <c r="H65" s="1091"/>
      <c r="I65" s="1091"/>
      <c r="J65" s="1084"/>
      <c r="K65" s="1084"/>
      <c r="L65" s="932"/>
      <c r="P65"/>
      <c r="Q65"/>
      <c r="R65"/>
      <c r="S65"/>
      <c r="T65"/>
      <c r="U65"/>
      <c r="V65"/>
      <c r="W65"/>
      <c r="X65"/>
    </row>
    <row r="66" spans="1:24" s="106" customFormat="1" ht="15.75" hidden="1" customHeight="1" outlineLevel="1">
      <c r="A66" s="932"/>
      <c r="B66" s="1087"/>
      <c r="C66" s="1096"/>
      <c r="D66" s="1092"/>
      <c r="E66" s="1092"/>
      <c r="F66" s="1094"/>
      <c r="G66" s="103"/>
      <c r="H66" s="1092"/>
      <c r="I66" s="1092"/>
      <c r="J66" s="1085"/>
      <c r="K66" s="1085"/>
      <c r="L66" s="932"/>
      <c r="P66"/>
      <c r="Q66"/>
      <c r="R66"/>
      <c r="S66"/>
      <c r="T66"/>
      <c r="U66"/>
      <c r="V66"/>
      <c r="W66"/>
      <c r="X66"/>
    </row>
    <row r="67" spans="1:24" s="106" customFormat="1" ht="15.75" hidden="1" customHeight="1" outlineLevel="1">
      <c r="A67" s="932"/>
      <c r="B67" s="1086">
        <v>19</v>
      </c>
      <c r="C67" s="1095"/>
      <c r="D67" s="1091"/>
      <c r="E67" s="1091" t="s">
        <v>20</v>
      </c>
      <c r="F67" s="1093" t="str">
        <f>VLOOKUP(E67,$N$13:$O$17,2,0)</f>
        <v>-</v>
      </c>
      <c r="G67" s="95"/>
      <c r="H67" s="1091"/>
      <c r="I67" s="1091"/>
      <c r="J67" s="1083"/>
      <c r="K67" s="1083"/>
      <c r="L67" s="932"/>
      <c r="P67"/>
      <c r="Q67"/>
      <c r="R67"/>
      <c r="S67"/>
      <c r="T67"/>
      <c r="U67"/>
      <c r="V67"/>
      <c r="W67"/>
      <c r="X67"/>
    </row>
    <row r="68" spans="1:24" s="106" customFormat="1" ht="15.75" hidden="1" customHeight="1" outlineLevel="1">
      <c r="A68" s="932"/>
      <c r="B68" s="1086"/>
      <c r="C68" s="1095"/>
      <c r="D68" s="1091"/>
      <c r="E68" s="1091"/>
      <c r="F68" s="1093"/>
      <c r="G68" s="98"/>
      <c r="H68" s="1091"/>
      <c r="I68" s="1091"/>
      <c r="J68" s="1084"/>
      <c r="K68" s="1084"/>
      <c r="L68" s="932"/>
      <c r="P68"/>
      <c r="Q68"/>
      <c r="R68"/>
      <c r="S68"/>
      <c r="T68"/>
      <c r="U68"/>
      <c r="V68"/>
      <c r="W68"/>
      <c r="X68"/>
    </row>
    <row r="69" spans="1:24" s="106" customFormat="1" ht="15.75" hidden="1" customHeight="1" outlineLevel="1">
      <c r="A69" s="932"/>
      <c r="B69" s="1087"/>
      <c r="C69" s="1096"/>
      <c r="D69" s="1092"/>
      <c r="E69" s="1092"/>
      <c r="F69" s="1094"/>
      <c r="G69" s="103"/>
      <c r="H69" s="1092"/>
      <c r="I69" s="1092"/>
      <c r="J69" s="1085"/>
      <c r="K69" s="1085"/>
      <c r="L69" s="932"/>
      <c r="P69"/>
      <c r="Q69"/>
      <c r="R69"/>
      <c r="S69"/>
      <c r="T69"/>
      <c r="U69"/>
      <c r="V69"/>
      <c r="W69"/>
      <c r="X69"/>
    </row>
    <row r="70" spans="1:24" s="106" customFormat="1" ht="15.75" hidden="1" customHeight="1" outlineLevel="1">
      <c r="A70" s="932"/>
      <c r="B70" s="1086">
        <v>20</v>
      </c>
      <c r="C70" s="1095"/>
      <c r="D70" s="1091"/>
      <c r="E70" s="1091" t="s">
        <v>20</v>
      </c>
      <c r="F70" s="1093" t="str">
        <f>VLOOKUP(E70,$N$13:$O$17,2,0)</f>
        <v>-</v>
      </c>
      <c r="G70" s="95"/>
      <c r="H70" s="1091"/>
      <c r="I70" s="1091"/>
      <c r="J70" s="1083"/>
      <c r="K70" s="1083"/>
      <c r="L70" s="932"/>
      <c r="P70"/>
      <c r="Q70"/>
      <c r="R70"/>
      <c r="S70"/>
      <c r="T70"/>
      <c r="U70"/>
      <c r="V70"/>
      <c r="W70"/>
      <c r="X70"/>
    </row>
    <row r="71" spans="1:24" s="106" customFormat="1" ht="15.75" hidden="1" customHeight="1" outlineLevel="1">
      <c r="A71" s="932"/>
      <c r="B71" s="1086"/>
      <c r="C71" s="1095"/>
      <c r="D71" s="1091"/>
      <c r="E71" s="1091"/>
      <c r="F71" s="1093"/>
      <c r="G71" s="98"/>
      <c r="H71" s="1091"/>
      <c r="I71" s="1091"/>
      <c r="J71" s="1084"/>
      <c r="K71" s="1084"/>
      <c r="L71" s="932"/>
      <c r="P71"/>
      <c r="Q71"/>
      <c r="R71"/>
      <c r="S71"/>
      <c r="T71"/>
      <c r="U71"/>
      <c r="V71"/>
      <c r="W71"/>
      <c r="X71"/>
    </row>
    <row r="72" spans="1:24" s="106" customFormat="1" ht="15.75" hidden="1" customHeight="1" outlineLevel="1">
      <c r="A72" s="932"/>
      <c r="B72" s="1087"/>
      <c r="C72" s="1096"/>
      <c r="D72" s="1092"/>
      <c r="E72" s="1092"/>
      <c r="F72" s="1094"/>
      <c r="G72" s="103"/>
      <c r="H72" s="1092"/>
      <c r="I72" s="1092"/>
      <c r="J72" s="1085"/>
      <c r="K72" s="1085"/>
      <c r="L72" s="932"/>
      <c r="P72"/>
      <c r="Q72"/>
      <c r="R72"/>
      <c r="S72"/>
      <c r="T72"/>
      <c r="U72"/>
      <c r="V72"/>
      <c r="W72"/>
      <c r="X72"/>
    </row>
    <row r="73" spans="1:24" s="106" customFormat="1" ht="15.75" hidden="1" customHeight="1" outlineLevel="1">
      <c r="A73" s="932"/>
      <c r="B73" s="1086">
        <v>21</v>
      </c>
      <c r="C73" s="1095"/>
      <c r="D73" s="1091"/>
      <c r="E73" s="1091" t="s">
        <v>20</v>
      </c>
      <c r="F73" s="1093" t="str">
        <f>VLOOKUP(E73,$N$13:$O$17,2,0)</f>
        <v>-</v>
      </c>
      <c r="G73" s="95"/>
      <c r="H73" s="1091"/>
      <c r="I73" s="1091"/>
      <c r="J73" s="1083"/>
      <c r="K73" s="1083"/>
      <c r="L73" s="932"/>
      <c r="P73"/>
      <c r="Q73"/>
      <c r="R73"/>
      <c r="S73"/>
      <c r="T73"/>
      <c r="U73"/>
      <c r="V73"/>
      <c r="W73"/>
      <c r="X73"/>
    </row>
    <row r="74" spans="1:24" s="106" customFormat="1" ht="15.75" hidden="1" customHeight="1" outlineLevel="1">
      <c r="A74" s="932"/>
      <c r="B74" s="1086"/>
      <c r="C74" s="1095"/>
      <c r="D74" s="1091"/>
      <c r="E74" s="1091"/>
      <c r="F74" s="1093"/>
      <c r="G74" s="98"/>
      <c r="H74" s="1091"/>
      <c r="I74" s="1091"/>
      <c r="J74" s="1084"/>
      <c r="K74" s="1084"/>
      <c r="L74" s="932"/>
      <c r="P74"/>
      <c r="Q74"/>
      <c r="R74"/>
      <c r="S74"/>
      <c r="T74"/>
      <c r="U74"/>
      <c r="V74"/>
      <c r="W74"/>
      <c r="X74"/>
    </row>
    <row r="75" spans="1:24" s="106" customFormat="1" ht="15.75" hidden="1" customHeight="1" outlineLevel="1">
      <c r="A75" s="932"/>
      <c r="B75" s="1087"/>
      <c r="C75" s="1096"/>
      <c r="D75" s="1092"/>
      <c r="E75" s="1092"/>
      <c r="F75" s="1094"/>
      <c r="G75" s="103"/>
      <c r="H75" s="1092"/>
      <c r="I75" s="1092"/>
      <c r="J75" s="1085"/>
      <c r="K75" s="1085"/>
      <c r="L75" s="932"/>
      <c r="P75"/>
      <c r="Q75"/>
      <c r="R75"/>
      <c r="S75"/>
      <c r="T75"/>
      <c r="U75"/>
      <c r="V75"/>
      <c r="W75"/>
      <c r="X75"/>
    </row>
    <row r="76" spans="1:24" s="106" customFormat="1" ht="15.75" hidden="1" customHeight="1" outlineLevel="1">
      <c r="A76" s="932"/>
      <c r="B76" s="1086">
        <v>22</v>
      </c>
      <c r="C76" s="1095"/>
      <c r="D76" s="1091"/>
      <c r="E76" s="1091" t="s">
        <v>20</v>
      </c>
      <c r="F76" s="1093" t="str">
        <f>VLOOKUP(E76,$N$13:$O$17,2,0)</f>
        <v>-</v>
      </c>
      <c r="G76" s="95"/>
      <c r="H76" s="1091"/>
      <c r="I76" s="1091"/>
      <c r="J76" s="1083"/>
      <c r="K76" s="1083"/>
      <c r="L76" s="932"/>
      <c r="P76"/>
      <c r="Q76"/>
      <c r="R76"/>
      <c r="S76"/>
      <c r="T76"/>
      <c r="U76"/>
      <c r="V76"/>
      <c r="W76"/>
      <c r="X76"/>
    </row>
    <row r="77" spans="1:24" s="106" customFormat="1" ht="15.75" hidden="1" customHeight="1" outlineLevel="1">
      <c r="A77" s="932"/>
      <c r="B77" s="1086"/>
      <c r="C77" s="1095"/>
      <c r="D77" s="1091"/>
      <c r="E77" s="1091"/>
      <c r="F77" s="1093"/>
      <c r="G77" s="98"/>
      <c r="H77" s="1091"/>
      <c r="I77" s="1091"/>
      <c r="J77" s="1084"/>
      <c r="K77" s="1084"/>
      <c r="L77" s="932"/>
      <c r="P77"/>
      <c r="Q77"/>
      <c r="R77"/>
      <c r="S77"/>
      <c r="T77"/>
      <c r="U77"/>
      <c r="V77"/>
      <c r="W77"/>
      <c r="X77"/>
    </row>
    <row r="78" spans="1:24" s="106" customFormat="1" ht="15.75" hidden="1" customHeight="1" outlineLevel="1">
      <c r="A78" s="932"/>
      <c r="B78" s="1087"/>
      <c r="C78" s="1096"/>
      <c r="D78" s="1092"/>
      <c r="E78" s="1092"/>
      <c r="F78" s="1094"/>
      <c r="G78" s="103"/>
      <c r="H78" s="1092"/>
      <c r="I78" s="1092"/>
      <c r="J78" s="1085"/>
      <c r="K78" s="1085"/>
      <c r="L78" s="932"/>
      <c r="P78"/>
      <c r="Q78"/>
      <c r="R78"/>
      <c r="S78"/>
      <c r="T78"/>
      <c r="U78"/>
      <c r="V78"/>
      <c r="W78"/>
      <c r="X78"/>
    </row>
    <row r="79" spans="1:24" s="106" customFormat="1" ht="15.75" hidden="1" customHeight="1" outlineLevel="1">
      <c r="A79" s="932"/>
      <c r="B79" s="1086">
        <v>23</v>
      </c>
      <c r="C79" s="1095"/>
      <c r="D79" s="1091"/>
      <c r="E79" s="1091" t="s">
        <v>20</v>
      </c>
      <c r="F79" s="1093" t="str">
        <f>VLOOKUP(E79,$N$13:$O$17,2,0)</f>
        <v>-</v>
      </c>
      <c r="G79" s="95"/>
      <c r="H79" s="1091"/>
      <c r="I79" s="1091"/>
      <c r="J79" s="1083"/>
      <c r="K79" s="1083"/>
      <c r="L79" s="932"/>
      <c r="P79"/>
      <c r="Q79"/>
      <c r="R79"/>
      <c r="S79"/>
      <c r="T79"/>
      <c r="U79"/>
      <c r="V79"/>
      <c r="W79"/>
      <c r="X79"/>
    </row>
    <row r="80" spans="1:24" s="106" customFormat="1" ht="15.75" hidden="1" customHeight="1" outlineLevel="1">
      <c r="A80" s="932"/>
      <c r="B80" s="1086"/>
      <c r="C80" s="1095"/>
      <c r="D80" s="1091"/>
      <c r="E80" s="1091"/>
      <c r="F80" s="1093"/>
      <c r="G80" s="98"/>
      <c r="H80" s="1091"/>
      <c r="I80" s="1091"/>
      <c r="J80" s="1084"/>
      <c r="K80" s="1084"/>
      <c r="L80" s="932"/>
      <c r="P80"/>
      <c r="Q80"/>
      <c r="R80"/>
      <c r="S80"/>
      <c r="T80"/>
      <c r="U80"/>
      <c r="V80"/>
      <c r="W80"/>
      <c r="X80"/>
    </row>
    <row r="81" spans="1:24" s="106" customFormat="1" ht="15.75" hidden="1" customHeight="1" outlineLevel="1">
      <c r="A81" s="932"/>
      <c r="B81" s="1087"/>
      <c r="C81" s="1096"/>
      <c r="D81" s="1092"/>
      <c r="E81" s="1092"/>
      <c r="F81" s="1094"/>
      <c r="G81" s="103"/>
      <c r="H81" s="1092"/>
      <c r="I81" s="1092"/>
      <c r="J81" s="1085"/>
      <c r="K81" s="1085"/>
      <c r="L81" s="932"/>
      <c r="P81"/>
      <c r="Q81"/>
      <c r="R81"/>
      <c r="S81"/>
      <c r="T81"/>
      <c r="U81"/>
      <c r="V81"/>
      <c r="W81"/>
      <c r="X81"/>
    </row>
    <row r="82" spans="1:24" s="106" customFormat="1" ht="15.75" hidden="1" customHeight="1" outlineLevel="1">
      <c r="A82" s="932"/>
      <c r="B82" s="1086">
        <v>24</v>
      </c>
      <c r="C82" s="1095"/>
      <c r="D82" s="1091"/>
      <c r="E82" s="1091" t="s">
        <v>20</v>
      </c>
      <c r="F82" s="1093" t="str">
        <f>VLOOKUP(E82,$N$13:$O$17,2,0)</f>
        <v>-</v>
      </c>
      <c r="G82" s="95"/>
      <c r="H82" s="1091"/>
      <c r="I82" s="1091"/>
      <c r="J82" s="1083"/>
      <c r="K82" s="1083"/>
      <c r="L82" s="932"/>
      <c r="P82"/>
      <c r="Q82"/>
      <c r="R82"/>
      <c r="S82"/>
      <c r="T82"/>
      <c r="U82"/>
      <c r="V82"/>
      <c r="W82"/>
      <c r="X82"/>
    </row>
    <row r="83" spans="1:24" s="106" customFormat="1" ht="15.75" hidden="1" customHeight="1" outlineLevel="1">
      <c r="A83" s="932"/>
      <c r="B83" s="1086"/>
      <c r="C83" s="1095"/>
      <c r="D83" s="1091"/>
      <c r="E83" s="1091"/>
      <c r="F83" s="1093"/>
      <c r="G83" s="98"/>
      <c r="H83" s="1091"/>
      <c r="I83" s="1091"/>
      <c r="J83" s="1084"/>
      <c r="K83" s="1084"/>
      <c r="L83" s="932"/>
      <c r="P83"/>
      <c r="Q83"/>
      <c r="R83"/>
      <c r="S83"/>
      <c r="T83"/>
      <c r="U83"/>
      <c r="V83"/>
      <c r="W83"/>
      <c r="X83"/>
    </row>
    <row r="84" spans="1:24" s="106" customFormat="1" ht="15.75" hidden="1" customHeight="1" outlineLevel="1">
      <c r="A84" s="932"/>
      <c r="B84" s="1087"/>
      <c r="C84" s="1096"/>
      <c r="D84" s="1092"/>
      <c r="E84" s="1092"/>
      <c r="F84" s="1094"/>
      <c r="G84" s="103"/>
      <c r="H84" s="1092"/>
      <c r="I84" s="1092"/>
      <c r="J84" s="1085"/>
      <c r="K84" s="1085"/>
      <c r="L84" s="932"/>
      <c r="P84"/>
      <c r="Q84"/>
      <c r="R84"/>
      <c r="S84"/>
      <c r="T84"/>
      <c r="U84"/>
      <c r="V84"/>
      <c r="W84"/>
      <c r="X84"/>
    </row>
    <row r="85" spans="1:24" s="106" customFormat="1" ht="15.75" hidden="1" customHeight="1" outlineLevel="1">
      <c r="A85" s="932"/>
      <c r="B85" s="1086">
        <v>25</v>
      </c>
      <c r="C85" s="1095"/>
      <c r="D85" s="1091"/>
      <c r="E85" s="1091" t="s">
        <v>20</v>
      </c>
      <c r="F85" s="1093" t="str">
        <f>VLOOKUP(E85,$N$13:$O$17,2,0)</f>
        <v>-</v>
      </c>
      <c r="G85" s="95"/>
      <c r="H85" s="1091"/>
      <c r="I85" s="1091"/>
      <c r="J85" s="1083"/>
      <c r="K85" s="1083"/>
      <c r="L85" s="932"/>
      <c r="P85"/>
      <c r="Q85"/>
      <c r="R85"/>
      <c r="S85"/>
      <c r="T85"/>
      <c r="U85"/>
      <c r="V85"/>
      <c r="W85"/>
      <c r="X85"/>
    </row>
    <row r="86" spans="1:24" s="106" customFormat="1" ht="15.75" hidden="1" customHeight="1" outlineLevel="1">
      <c r="A86" s="932"/>
      <c r="B86" s="1086"/>
      <c r="C86" s="1095"/>
      <c r="D86" s="1091"/>
      <c r="E86" s="1091"/>
      <c r="F86" s="1093"/>
      <c r="G86" s="98"/>
      <c r="H86" s="1091"/>
      <c r="I86" s="1091"/>
      <c r="J86" s="1084"/>
      <c r="K86" s="1084"/>
      <c r="L86" s="932"/>
      <c r="P86"/>
      <c r="Q86"/>
      <c r="R86"/>
      <c r="S86"/>
      <c r="T86"/>
      <c r="U86"/>
      <c r="V86"/>
      <c r="W86"/>
      <c r="X86"/>
    </row>
    <row r="87" spans="1:24" s="106" customFormat="1" ht="15.75" hidden="1" customHeight="1" outlineLevel="1">
      <c r="A87" s="932"/>
      <c r="B87" s="1087"/>
      <c r="C87" s="1096"/>
      <c r="D87" s="1092"/>
      <c r="E87" s="1092"/>
      <c r="F87" s="1094"/>
      <c r="G87" s="103"/>
      <c r="H87" s="1092"/>
      <c r="I87" s="1092"/>
      <c r="J87" s="1085"/>
      <c r="K87" s="1085"/>
      <c r="L87" s="932"/>
      <c r="P87"/>
      <c r="Q87"/>
      <c r="R87"/>
      <c r="S87"/>
      <c r="T87"/>
      <c r="U87"/>
      <c r="V87"/>
      <c r="W87"/>
      <c r="X87"/>
    </row>
    <row r="88" spans="1:24" s="106" customFormat="1" ht="15.75" hidden="1" customHeight="1" outlineLevel="1">
      <c r="A88" s="932"/>
      <c r="B88" s="1086">
        <v>26</v>
      </c>
      <c r="C88" s="1095"/>
      <c r="D88" s="1091"/>
      <c r="E88" s="1091" t="s">
        <v>20</v>
      </c>
      <c r="F88" s="1093" t="str">
        <f>VLOOKUP(E88,$N$13:$O$17,2,0)</f>
        <v>-</v>
      </c>
      <c r="G88" s="95"/>
      <c r="H88" s="1091"/>
      <c r="I88" s="1091"/>
      <c r="J88" s="1083"/>
      <c r="K88" s="1083"/>
      <c r="L88" s="932"/>
      <c r="P88"/>
      <c r="Q88"/>
      <c r="R88"/>
      <c r="S88"/>
      <c r="T88"/>
      <c r="U88"/>
      <c r="V88"/>
      <c r="W88"/>
      <c r="X88"/>
    </row>
    <row r="89" spans="1:24" s="106" customFormat="1" ht="15.75" hidden="1" customHeight="1" outlineLevel="1">
      <c r="A89" s="932"/>
      <c r="B89" s="1086"/>
      <c r="C89" s="1095"/>
      <c r="D89" s="1091"/>
      <c r="E89" s="1091"/>
      <c r="F89" s="1093"/>
      <c r="G89" s="98"/>
      <c r="H89" s="1091"/>
      <c r="I89" s="1091"/>
      <c r="J89" s="1084"/>
      <c r="K89" s="1084"/>
      <c r="L89" s="932"/>
      <c r="P89"/>
      <c r="Q89"/>
      <c r="R89"/>
      <c r="S89"/>
      <c r="T89"/>
      <c r="U89"/>
      <c r="V89"/>
      <c r="W89"/>
      <c r="X89"/>
    </row>
    <row r="90" spans="1:24" s="106" customFormat="1" ht="15.75" hidden="1" customHeight="1" outlineLevel="1">
      <c r="A90" s="932"/>
      <c r="B90" s="1087"/>
      <c r="C90" s="1096"/>
      <c r="D90" s="1092"/>
      <c r="E90" s="1092"/>
      <c r="F90" s="1094"/>
      <c r="G90" s="103"/>
      <c r="H90" s="1092"/>
      <c r="I90" s="1092"/>
      <c r="J90" s="1085"/>
      <c r="K90" s="1085"/>
      <c r="L90" s="932"/>
      <c r="P90"/>
      <c r="Q90"/>
      <c r="R90"/>
      <c r="S90"/>
      <c r="T90"/>
      <c r="U90"/>
      <c r="V90"/>
      <c r="W90"/>
      <c r="X90"/>
    </row>
    <row r="91" spans="1:24" s="106" customFormat="1" ht="15.75" hidden="1" customHeight="1" outlineLevel="1">
      <c r="A91" s="932"/>
      <c r="B91" s="1086">
        <v>27</v>
      </c>
      <c r="C91" s="1095"/>
      <c r="D91" s="1091"/>
      <c r="E91" s="1091" t="s">
        <v>20</v>
      </c>
      <c r="F91" s="1093" t="str">
        <f>VLOOKUP(E91,$N$13:$O$17,2,0)</f>
        <v>-</v>
      </c>
      <c r="G91" s="95"/>
      <c r="H91" s="1091"/>
      <c r="I91" s="1091"/>
      <c r="J91" s="1083"/>
      <c r="K91" s="1083"/>
      <c r="L91" s="932"/>
      <c r="P91"/>
      <c r="Q91"/>
      <c r="R91"/>
      <c r="S91"/>
      <c r="T91"/>
      <c r="U91"/>
      <c r="V91"/>
      <c r="W91"/>
      <c r="X91"/>
    </row>
    <row r="92" spans="1:24" s="106" customFormat="1" ht="15.75" hidden="1" customHeight="1" outlineLevel="1">
      <c r="A92" s="932"/>
      <c r="B92" s="1086"/>
      <c r="C92" s="1095"/>
      <c r="D92" s="1091"/>
      <c r="E92" s="1091"/>
      <c r="F92" s="1093"/>
      <c r="G92" s="98"/>
      <c r="H92" s="1091"/>
      <c r="I92" s="1091"/>
      <c r="J92" s="1084"/>
      <c r="K92" s="1084"/>
      <c r="L92" s="932"/>
      <c r="P92"/>
      <c r="Q92"/>
      <c r="R92"/>
      <c r="S92"/>
      <c r="T92"/>
      <c r="U92"/>
      <c r="V92"/>
      <c r="W92"/>
      <c r="X92"/>
    </row>
    <row r="93" spans="1:24" s="106" customFormat="1" ht="15.75" hidden="1" customHeight="1" outlineLevel="1">
      <c r="A93" s="932"/>
      <c r="B93" s="1087"/>
      <c r="C93" s="1096"/>
      <c r="D93" s="1092"/>
      <c r="E93" s="1092"/>
      <c r="F93" s="1094"/>
      <c r="G93" s="103"/>
      <c r="H93" s="1092"/>
      <c r="I93" s="1092"/>
      <c r="J93" s="1085"/>
      <c r="K93" s="1085"/>
      <c r="L93" s="932"/>
      <c r="P93"/>
      <c r="Q93"/>
      <c r="R93"/>
      <c r="S93"/>
      <c r="T93"/>
      <c r="U93"/>
      <c r="V93"/>
      <c r="W93"/>
      <c r="X93"/>
    </row>
    <row r="94" spans="1:24" s="106" customFormat="1" ht="15.75" hidden="1" customHeight="1" outlineLevel="1">
      <c r="A94" s="932"/>
      <c r="B94" s="1086">
        <v>28</v>
      </c>
      <c r="C94" s="1095"/>
      <c r="D94" s="1091"/>
      <c r="E94" s="1091" t="s">
        <v>20</v>
      </c>
      <c r="F94" s="1093" t="str">
        <f>VLOOKUP(E94,$N$13:$O$17,2,0)</f>
        <v>-</v>
      </c>
      <c r="G94" s="95"/>
      <c r="H94" s="1091"/>
      <c r="I94" s="1091"/>
      <c r="J94" s="1083"/>
      <c r="K94" s="1083"/>
      <c r="L94" s="932"/>
      <c r="P94"/>
      <c r="Q94"/>
      <c r="R94"/>
      <c r="S94"/>
      <c r="T94"/>
      <c r="U94"/>
      <c r="V94"/>
      <c r="W94"/>
      <c r="X94"/>
    </row>
    <row r="95" spans="1:24" s="106" customFormat="1" ht="15.75" hidden="1" customHeight="1" outlineLevel="1">
      <c r="A95" s="932"/>
      <c r="B95" s="1086"/>
      <c r="C95" s="1095"/>
      <c r="D95" s="1091"/>
      <c r="E95" s="1091"/>
      <c r="F95" s="1093"/>
      <c r="G95" s="98"/>
      <c r="H95" s="1091"/>
      <c r="I95" s="1091"/>
      <c r="J95" s="1084"/>
      <c r="K95" s="1084"/>
      <c r="L95" s="932"/>
      <c r="P95"/>
      <c r="Q95"/>
      <c r="R95"/>
      <c r="S95"/>
      <c r="T95"/>
      <c r="U95"/>
      <c r="V95"/>
      <c r="W95"/>
      <c r="X95"/>
    </row>
    <row r="96" spans="1:24" s="106" customFormat="1" ht="15.75" hidden="1" customHeight="1" outlineLevel="1">
      <c r="A96" s="932"/>
      <c r="B96" s="1087"/>
      <c r="C96" s="1096"/>
      <c r="D96" s="1092"/>
      <c r="E96" s="1092"/>
      <c r="F96" s="1094"/>
      <c r="G96" s="103"/>
      <c r="H96" s="1092"/>
      <c r="I96" s="1092"/>
      <c r="J96" s="1085"/>
      <c r="K96" s="1085"/>
      <c r="L96" s="932"/>
      <c r="P96"/>
      <c r="Q96"/>
      <c r="R96"/>
      <c r="S96"/>
      <c r="T96"/>
      <c r="U96"/>
      <c r="V96"/>
      <c r="W96"/>
      <c r="X96"/>
    </row>
    <row r="97" spans="1:24" s="106" customFormat="1" ht="15.75" hidden="1" customHeight="1" outlineLevel="1">
      <c r="A97" s="932"/>
      <c r="B97" s="1086">
        <v>29</v>
      </c>
      <c r="C97" s="1095"/>
      <c r="D97" s="1091"/>
      <c r="E97" s="1091" t="s">
        <v>20</v>
      </c>
      <c r="F97" s="1093" t="str">
        <f>VLOOKUP(E97,$N$13:$O$17,2,0)</f>
        <v>-</v>
      </c>
      <c r="G97" s="95"/>
      <c r="H97" s="1091"/>
      <c r="I97" s="1091"/>
      <c r="J97" s="1083"/>
      <c r="K97" s="1083"/>
      <c r="L97" s="932"/>
      <c r="P97"/>
      <c r="Q97"/>
      <c r="R97"/>
      <c r="S97"/>
      <c r="T97"/>
      <c r="U97"/>
      <c r="V97"/>
      <c r="W97"/>
      <c r="X97"/>
    </row>
    <row r="98" spans="1:24" s="106" customFormat="1" ht="15.75" hidden="1" customHeight="1" outlineLevel="1">
      <c r="A98" s="932"/>
      <c r="B98" s="1086"/>
      <c r="C98" s="1095"/>
      <c r="D98" s="1091"/>
      <c r="E98" s="1091"/>
      <c r="F98" s="1093"/>
      <c r="G98" s="98"/>
      <c r="H98" s="1091"/>
      <c r="I98" s="1091"/>
      <c r="J98" s="1084"/>
      <c r="K98" s="1084"/>
      <c r="L98" s="932"/>
      <c r="P98"/>
      <c r="Q98"/>
      <c r="R98"/>
      <c r="S98"/>
      <c r="T98"/>
      <c r="U98"/>
      <c r="V98"/>
      <c r="W98"/>
      <c r="X98"/>
    </row>
    <row r="99" spans="1:24" s="106" customFormat="1" ht="15.75" hidden="1" customHeight="1" outlineLevel="1">
      <c r="A99" s="932"/>
      <c r="B99" s="1087"/>
      <c r="C99" s="1096"/>
      <c r="D99" s="1092"/>
      <c r="E99" s="1092"/>
      <c r="F99" s="1094"/>
      <c r="G99" s="103"/>
      <c r="H99" s="1092"/>
      <c r="I99" s="1092"/>
      <c r="J99" s="1085"/>
      <c r="K99" s="1085"/>
      <c r="L99" s="932"/>
      <c r="P99"/>
      <c r="Q99"/>
      <c r="R99"/>
      <c r="S99"/>
      <c r="T99"/>
      <c r="U99"/>
      <c r="V99"/>
      <c r="W99"/>
      <c r="X99"/>
    </row>
    <row r="100" spans="1:24" s="106" customFormat="1" ht="15.75" hidden="1" customHeight="1" outlineLevel="1">
      <c r="A100" s="932"/>
      <c r="B100" s="1086">
        <v>30</v>
      </c>
      <c r="C100" s="1095"/>
      <c r="D100" s="1091"/>
      <c r="E100" s="1091" t="s">
        <v>20</v>
      </c>
      <c r="F100" s="1093" t="str">
        <f>VLOOKUP(E100,$N$13:$O$17,2,0)</f>
        <v>-</v>
      </c>
      <c r="G100" s="95"/>
      <c r="H100" s="1091"/>
      <c r="I100" s="1091"/>
      <c r="J100" s="1083"/>
      <c r="K100" s="1083"/>
      <c r="L100" s="932"/>
      <c r="P100"/>
      <c r="Q100"/>
      <c r="R100"/>
      <c r="S100"/>
      <c r="T100"/>
      <c r="U100"/>
      <c r="V100"/>
      <c r="W100"/>
      <c r="X100"/>
    </row>
    <row r="101" spans="1:24" s="106" customFormat="1" ht="15.75" hidden="1" customHeight="1" outlineLevel="1">
      <c r="A101" s="932"/>
      <c r="B101" s="1086"/>
      <c r="C101" s="1095"/>
      <c r="D101" s="1091"/>
      <c r="E101" s="1091"/>
      <c r="F101" s="1093"/>
      <c r="G101" s="98"/>
      <c r="H101" s="1091"/>
      <c r="I101" s="1091"/>
      <c r="J101" s="1084"/>
      <c r="K101" s="1084"/>
      <c r="L101" s="932"/>
      <c r="P101"/>
      <c r="Q101"/>
      <c r="R101"/>
      <c r="S101"/>
      <c r="T101"/>
      <c r="U101"/>
      <c r="V101"/>
      <c r="W101"/>
      <c r="X101"/>
    </row>
    <row r="102" spans="1:24" s="106" customFormat="1" ht="15.75" hidden="1" customHeight="1" outlineLevel="1">
      <c r="A102" s="932"/>
      <c r="B102" s="1087"/>
      <c r="C102" s="1096"/>
      <c r="D102" s="1092"/>
      <c r="E102" s="1092"/>
      <c r="F102" s="1094"/>
      <c r="G102" s="103"/>
      <c r="H102" s="1092"/>
      <c r="I102" s="1092"/>
      <c r="J102" s="1085"/>
      <c r="K102" s="1085"/>
      <c r="L102" s="932"/>
      <c r="P102"/>
      <c r="Q102"/>
      <c r="R102"/>
      <c r="S102"/>
      <c r="T102"/>
      <c r="U102"/>
      <c r="V102"/>
      <c r="W102"/>
      <c r="X102"/>
    </row>
    <row r="103" spans="1:24" s="106" customFormat="1" ht="15.75" hidden="1" customHeight="1" outlineLevel="1">
      <c r="A103" s="932"/>
      <c r="B103" s="1086">
        <v>31</v>
      </c>
      <c r="C103" s="1095"/>
      <c r="D103" s="1091"/>
      <c r="E103" s="1091" t="s">
        <v>20</v>
      </c>
      <c r="F103" s="1093" t="str">
        <f>VLOOKUP(E103,$N$13:$O$17,2,0)</f>
        <v>-</v>
      </c>
      <c r="G103" s="95"/>
      <c r="H103" s="1091"/>
      <c r="I103" s="1091"/>
      <c r="J103" s="1083"/>
      <c r="K103" s="1083"/>
      <c r="L103" s="932"/>
      <c r="P103"/>
      <c r="Q103"/>
      <c r="R103"/>
      <c r="S103"/>
      <c r="T103"/>
      <c r="U103"/>
      <c r="V103"/>
      <c r="W103"/>
      <c r="X103"/>
    </row>
    <row r="104" spans="1:24" s="106" customFormat="1" ht="15.75" hidden="1" customHeight="1" outlineLevel="1">
      <c r="A104" s="932"/>
      <c r="B104" s="1086"/>
      <c r="C104" s="1095"/>
      <c r="D104" s="1091"/>
      <c r="E104" s="1091"/>
      <c r="F104" s="1093"/>
      <c r="G104" s="98"/>
      <c r="H104" s="1091"/>
      <c r="I104" s="1091"/>
      <c r="J104" s="1084"/>
      <c r="K104" s="1084"/>
      <c r="L104" s="932"/>
      <c r="P104"/>
      <c r="Q104"/>
      <c r="R104"/>
      <c r="S104"/>
      <c r="T104"/>
      <c r="U104"/>
      <c r="V104"/>
      <c r="W104"/>
      <c r="X104"/>
    </row>
    <row r="105" spans="1:24" s="106" customFormat="1" ht="15.75" hidden="1" customHeight="1" outlineLevel="1">
      <c r="A105" s="932"/>
      <c r="B105" s="1087"/>
      <c r="C105" s="1096"/>
      <c r="D105" s="1092"/>
      <c r="E105" s="1092"/>
      <c r="F105" s="1094"/>
      <c r="G105" s="103"/>
      <c r="H105" s="1092"/>
      <c r="I105" s="1092"/>
      <c r="J105" s="1085"/>
      <c r="K105" s="1085"/>
      <c r="L105" s="932"/>
      <c r="P105"/>
      <c r="Q105"/>
      <c r="R105"/>
      <c r="S105"/>
      <c r="T105"/>
      <c r="U105"/>
      <c r="V105"/>
      <c r="W105"/>
      <c r="X105"/>
    </row>
    <row r="106" spans="1:24" s="106" customFormat="1" ht="15.75" hidden="1" customHeight="1" outlineLevel="1">
      <c r="A106" s="932"/>
      <c r="B106" s="1086">
        <v>32</v>
      </c>
      <c r="C106" s="1095"/>
      <c r="D106" s="1091"/>
      <c r="E106" s="1091" t="s">
        <v>20</v>
      </c>
      <c r="F106" s="1093" t="str">
        <f>VLOOKUP(E106,$N$13:$O$17,2,0)</f>
        <v>-</v>
      </c>
      <c r="G106" s="95"/>
      <c r="H106" s="1091"/>
      <c r="I106" s="1091"/>
      <c r="J106" s="1083"/>
      <c r="K106" s="1083"/>
      <c r="L106" s="932"/>
      <c r="P106"/>
      <c r="Q106"/>
      <c r="R106"/>
      <c r="S106"/>
      <c r="T106"/>
      <c r="U106"/>
      <c r="V106"/>
      <c r="W106"/>
      <c r="X106"/>
    </row>
    <row r="107" spans="1:24" s="106" customFormat="1" ht="15.75" hidden="1" customHeight="1" outlineLevel="1">
      <c r="A107" s="932"/>
      <c r="B107" s="1086"/>
      <c r="C107" s="1095"/>
      <c r="D107" s="1091"/>
      <c r="E107" s="1091"/>
      <c r="F107" s="1093"/>
      <c r="G107" s="98"/>
      <c r="H107" s="1091"/>
      <c r="I107" s="1091"/>
      <c r="J107" s="1084"/>
      <c r="K107" s="1084"/>
      <c r="L107" s="932"/>
      <c r="P107"/>
      <c r="Q107"/>
      <c r="R107"/>
      <c r="S107"/>
      <c r="T107"/>
      <c r="U107"/>
      <c r="V107"/>
      <c r="W107"/>
      <c r="X107"/>
    </row>
    <row r="108" spans="1:24" s="106" customFormat="1" ht="15.75" hidden="1" customHeight="1" outlineLevel="1">
      <c r="A108" s="932"/>
      <c r="B108" s="1087"/>
      <c r="C108" s="1096"/>
      <c r="D108" s="1092"/>
      <c r="E108" s="1092"/>
      <c r="F108" s="1094"/>
      <c r="G108" s="103"/>
      <c r="H108" s="1092"/>
      <c r="I108" s="1092"/>
      <c r="J108" s="1085"/>
      <c r="K108" s="1085"/>
      <c r="L108" s="932"/>
      <c r="P108"/>
      <c r="Q108"/>
      <c r="R108"/>
      <c r="S108"/>
      <c r="T108"/>
      <c r="U108"/>
      <c r="V108"/>
      <c r="W108"/>
      <c r="X108"/>
    </row>
    <row r="109" spans="1:24" s="106" customFormat="1" ht="15.75" hidden="1" customHeight="1" outlineLevel="1">
      <c r="A109" s="932"/>
      <c r="B109" s="1086">
        <v>33</v>
      </c>
      <c r="C109" s="1095"/>
      <c r="D109" s="1091"/>
      <c r="E109" s="1091" t="s">
        <v>20</v>
      </c>
      <c r="F109" s="1093" t="str">
        <f>VLOOKUP(E109,$N$13:$O$17,2,0)</f>
        <v>-</v>
      </c>
      <c r="G109" s="95"/>
      <c r="H109" s="1091"/>
      <c r="I109" s="1091"/>
      <c r="J109" s="1083"/>
      <c r="K109" s="1083"/>
      <c r="L109" s="932"/>
      <c r="P109"/>
      <c r="Q109"/>
      <c r="R109"/>
      <c r="S109"/>
      <c r="T109"/>
      <c r="U109"/>
      <c r="V109"/>
      <c r="W109"/>
      <c r="X109"/>
    </row>
    <row r="110" spans="1:24" s="106" customFormat="1" ht="15.75" hidden="1" customHeight="1" outlineLevel="1">
      <c r="A110" s="932"/>
      <c r="B110" s="1086"/>
      <c r="C110" s="1095"/>
      <c r="D110" s="1091"/>
      <c r="E110" s="1091"/>
      <c r="F110" s="1093"/>
      <c r="G110" s="98"/>
      <c r="H110" s="1091"/>
      <c r="I110" s="1091"/>
      <c r="J110" s="1084"/>
      <c r="K110" s="1084"/>
      <c r="L110" s="932"/>
      <c r="P110"/>
      <c r="Q110"/>
      <c r="R110"/>
      <c r="S110"/>
      <c r="T110"/>
      <c r="U110"/>
      <c r="V110"/>
      <c r="W110"/>
      <c r="X110"/>
    </row>
    <row r="111" spans="1:24" s="106" customFormat="1" ht="15.75" hidden="1" customHeight="1" outlineLevel="1">
      <c r="A111" s="932"/>
      <c r="B111" s="1087"/>
      <c r="C111" s="1096"/>
      <c r="D111" s="1092"/>
      <c r="E111" s="1092"/>
      <c r="F111" s="1094"/>
      <c r="G111" s="103"/>
      <c r="H111" s="1092"/>
      <c r="I111" s="1092"/>
      <c r="J111" s="1085"/>
      <c r="K111" s="1085"/>
      <c r="L111" s="932"/>
      <c r="P111"/>
      <c r="Q111"/>
      <c r="R111"/>
      <c r="S111"/>
      <c r="T111"/>
      <c r="U111"/>
      <c r="V111"/>
      <c r="W111"/>
      <c r="X111"/>
    </row>
    <row r="112" spans="1:24" s="106" customFormat="1" ht="15.75" hidden="1" customHeight="1" outlineLevel="1">
      <c r="A112" s="932"/>
      <c r="B112" s="1086">
        <v>34</v>
      </c>
      <c r="C112" s="1095"/>
      <c r="D112" s="1091"/>
      <c r="E112" s="1091" t="s">
        <v>20</v>
      </c>
      <c r="F112" s="1093" t="str">
        <f>VLOOKUP(E112,$N$13:$O$17,2,0)</f>
        <v>-</v>
      </c>
      <c r="G112" s="95"/>
      <c r="H112" s="1091"/>
      <c r="I112" s="1091"/>
      <c r="J112" s="1083"/>
      <c r="K112" s="1083"/>
      <c r="L112" s="932"/>
      <c r="P112"/>
      <c r="Q112"/>
      <c r="R112"/>
      <c r="S112"/>
      <c r="T112"/>
      <c r="U112"/>
      <c r="V112"/>
      <c r="W112"/>
      <c r="X112"/>
    </row>
    <row r="113" spans="1:24" s="106" customFormat="1" ht="15.75" hidden="1" customHeight="1" outlineLevel="1">
      <c r="A113" s="932"/>
      <c r="B113" s="1086"/>
      <c r="C113" s="1095"/>
      <c r="D113" s="1091"/>
      <c r="E113" s="1091"/>
      <c r="F113" s="1093"/>
      <c r="G113" s="98"/>
      <c r="H113" s="1091"/>
      <c r="I113" s="1091"/>
      <c r="J113" s="1084"/>
      <c r="K113" s="1084"/>
      <c r="L113" s="932"/>
      <c r="P113"/>
      <c r="Q113"/>
      <c r="R113"/>
      <c r="S113"/>
      <c r="T113"/>
      <c r="U113"/>
      <c r="V113"/>
      <c r="W113"/>
      <c r="X113"/>
    </row>
    <row r="114" spans="1:24" s="106" customFormat="1" ht="15.75" hidden="1" customHeight="1" outlineLevel="1">
      <c r="A114" s="932"/>
      <c r="B114" s="1087"/>
      <c r="C114" s="1096"/>
      <c r="D114" s="1092"/>
      <c r="E114" s="1092"/>
      <c r="F114" s="1094"/>
      <c r="G114" s="103"/>
      <c r="H114" s="1092"/>
      <c r="I114" s="1092"/>
      <c r="J114" s="1085"/>
      <c r="K114" s="1085"/>
      <c r="L114" s="932"/>
      <c r="P114"/>
      <c r="Q114"/>
      <c r="R114"/>
      <c r="S114"/>
      <c r="T114"/>
      <c r="U114"/>
      <c r="V114"/>
      <c r="W114"/>
      <c r="X114"/>
    </row>
    <row r="115" spans="1:24" s="106" customFormat="1" ht="15.75" hidden="1" customHeight="1" outlineLevel="1">
      <c r="A115" s="932"/>
      <c r="B115" s="1086">
        <v>35</v>
      </c>
      <c r="C115" s="1095"/>
      <c r="D115" s="1091"/>
      <c r="E115" s="1091" t="s">
        <v>20</v>
      </c>
      <c r="F115" s="1093" t="str">
        <f>VLOOKUP(E115,$N$13:$O$17,2,0)</f>
        <v>-</v>
      </c>
      <c r="G115" s="95"/>
      <c r="H115" s="1091"/>
      <c r="I115" s="1091"/>
      <c r="J115" s="1083"/>
      <c r="K115" s="1083"/>
      <c r="L115" s="932"/>
      <c r="P115"/>
      <c r="Q115"/>
      <c r="R115"/>
      <c r="S115"/>
      <c r="T115"/>
      <c r="U115"/>
      <c r="V115"/>
      <c r="W115"/>
      <c r="X115"/>
    </row>
    <row r="116" spans="1:24" s="106" customFormat="1" ht="15.75" hidden="1" customHeight="1" outlineLevel="1">
      <c r="A116" s="932"/>
      <c r="B116" s="1086"/>
      <c r="C116" s="1095"/>
      <c r="D116" s="1091"/>
      <c r="E116" s="1091"/>
      <c r="F116" s="1093"/>
      <c r="G116" s="98"/>
      <c r="H116" s="1091"/>
      <c r="I116" s="1091"/>
      <c r="J116" s="1084"/>
      <c r="K116" s="1084"/>
      <c r="L116" s="932"/>
      <c r="P116"/>
      <c r="Q116"/>
      <c r="R116"/>
      <c r="S116"/>
      <c r="T116"/>
      <c r="U116"/>
      <c r="V116"/>
      <c r="W116"/>
      <c r="X116"/>
    </row>
    <row r="117" spans="1:24" s="106" customFormat="1" ht="15.75" hidden="1" customHeight="1" outlineLevel="1">
      <c r="A117" s="932"/>
      <c r="B117" s="1087"/>
      <c r="C117" s="1096"/>
      <c r="D117" s="1092"/>
      <c r="E117" s="1092"/>
      <c r="F117" s="1094"/>
      <c r="G117" s="103"/>
      <c r="H117" s="1092"/>
      <c r="I117" s="1092"/>
      <c r="J117" s="1085"/>
      <c r="K117" s="1085"/>
      <c r="L117" s="932"/>
      <c r="P117"/>
      <c r="Q117"/>
      <c r="R117"/>
      <c r="S117"/>
      <c r="T117"/>
      <c r="U117"/>
      <c r="V117"/>
      <c r="W117"/>
      <c r="X117"/>
    </row>
    <row r="118" spans="1:24" s="106" customFormat="1" ht="15.75" hidden="1" customHeight="1" outlineLevel="1">
      <c r="A118" s="932"/>
      <c r="B118" s="1086">
        <v>36</v>
      </c>
      <c r="C118" s="1095"/>
      <c r="D118" s="1091"/>
      <c r="E118" s="1091" t="s">
        <v>20</v>
      </c>
      <c r="F118" s="1093" t="str">
        <f>VLOOKUP(E118,$N$13:$O$17,2,0)</f>
        <v>-</v>
      </c>
      <c r="G118" s="95"/>
      <c r="H118" s="1091"/>
      <c r="I118" s="1091"/>
      <c r="J118" s="1083"/>
      <c r="K118" s="1083"/>
      <c r="L118" s="932"/>
      <c r="P118"/>
      <c r="Q118"/>
      <c r="R118"/>
      <c r="S118"/>
      <c r="T118"/>
      <c r="U118"/>
      <c r="V118"/>
      <c r="W118"/>
      <c r="X118"/>
    </row>
    <row r="119" spans="1:24" s="106" customFormat="1" ht="15.75" hidden="1" customHeight="1" outlineLevel="1">
      <c r="A119" s="932"/>
      <c r="B119" s="1086"/>
      <c r="C119" s="1095"/>
      <c r="D119" s="1091"/>
      <c r="E119" s="1091"/>
      <c r="F119" s="1093"/>
      <c r="G119" s="98"/>
      <c r="H119" s="1091"/>
      <c r="I119" s="1091"/>
      <c r="J119" s="1084"/>
      <c r="K119" s="1084"/>
      <c r="L119" s="932"/>
      <c r="P119"/>
      <c r="Q119"/>
      <c r="R119"/>
      <c r="S119"/>
      <c r="T119"/>
      <c r="U119"/>
      <c r="V119"/>
      <c r="W119"/>
      <c r="X119"/>
    </row>
    <row r="120" spans="1:24" s="106" customFormat="1" ht="15.75" hidden="1" customHeight="1" outlineLevel="1">
      <c r="A120" s="932"/>
      <c r="B120" s="1087"/>
      <c r="C120" s="1096"/>
      <c r="D120" s="1092"/>
      <c r="E120" s="1092"/>
      <c r="F120" s="1094"/>
      <c r="G120" s="103"/>
      <c r="H120" s="1092"/>
      <c r="I120" s="1092"/>
      <c r="J120" s="1085"/>
      <c r="K120" s="1085"/>
      <c r="L120" s="932"/>
      <c r="P120"/>
      <c r="Q120"/>
      <c r="R120"/>
      <c r="S120"/>
      <c r="T120"/>
      <c r="U120"/>
      <c r="V120"/>
      <c r="W120"/>
      <c r="X120"/>
    </row>
    <row r="121" spans="1:24" s="106" customFormat="1" ht="15.75" hidden="1" customHeight="1" outlineLevel="1">
      <c r="A121" s="932"/>
      <c r="B121" s="1086">
        <v>37</v>
      </c>
      <c r="C121" s="1095"/>
      <c r="D121" s="1091"/>
      <c r="E121" s="1091" t="s">
        <v>20</v>
      </c>
      <c r="F121" s="1093" t="str">
        <f>VLOOKUP(E121,$N$13:$O$17,2,0)</f>
        <v>-</v>
      </c>
      <c r="G121" s="95"/>
      <c r="H121" s="1091"/>
      <c r="I121" s="1091"/>
      <c r="J121" s="1083"/>
      <c r="K121" s="1083"/>
      <c r="L121" s="932"/>
      <c r="P121"/>
      <c r="Q121"/>
      <c r="R121"/>
      <c r="S121"/>
      <c r="T121"/>
      <c r="U121"/>
      <c r="V121"/>
      <c r="W121"/>
      <c r="X121"/>
    </row>
    <row r="122" spans="1:24" s="106" customFormat="1" ht="15.75" hidden="1" customHeight="1" outlineLevel="1">
      <c r="A122" s="932"/>
      <c r="B122" s="1086"/>
      <c r="C122" s="1095"/>
      <c r="D122" s="1091"/>
      <c r="E122" s="1091"/>
      <c r="F122" s="1093"/>
      <c r="G122" s="98"/>
      <c r="H122" s="1091"/>
      <c r="I122" s="1091"/>
      <c r="J122" s="1084"/>
      <c r="K122" s="1084"/>
      <c r="L122" s="932"/>
      <c r="P122"/>
      <c r="Q122"/>
      <c r="R122"/>
      <c r="S122"/>
      <c r="T122"/>
      <c r="U122"/>
      <c r="V122"/>
      <c r="W122"/>
      <c r="X122"/>
    </row>
    <row r="123" spans="1:24" s="106" customFormat="1" ht="15.75" hidden="1" customHeight="1" outlineLevel="1">
      <c r="A123" s="932"/>
      <c r="B123" s="1087"/>
      <c r="C123" s="1096"/>
      <c r="D123" s="1092"/>
      <c r="E123" s="1092"/>
      <c r="F123" s="1094"/>
      <c r="G123" s="103"/>
      <c r="H123" s="1092"/>
      <c r="I123" s="1092"/>
      <c r="J123" s="1085"/>
      <c r="K123" s="1085"/>
      <c r="L123" s="932"/>
      <c r="P123"/>
      <c r="Q123"/>
      <c r="R123"/>
      <c r="S123"/>
      <c r="T123"/>
      <c r="U123"/>
      <c r="V123"/>
      <c r="W123"/>
      <c r="X123"/>
    </row>
    <row r="124" spans="1:24" s="106" customFormat="1" ht="15.75" hidden="1" customHeight="1" outlineLevel="1">
      <c r="A124" s="932"/>
      <c r="B124" s="1086">
        <v>38</v>
      </c>
      <c r="C124" s="1095"/>
      <c r="D124" s="1091"/>
      <c r="E124" s="1091" t="s">
        <v>20</v>
      </c>
      <c r="F124" s="1093" t="str">
        <f>VLOOKUP(E124,$N$13:$O$17,2,0)</f>
        <v>-</v>
      </c>
      <c r="G124" s="95"/>
      <c r="H124" s="1091"/>
      <c r="I124" s="1091"/>
      <c r="J124" s="1083"/>
      <c r="K124" s="1083"/>
      <c r="L124" s="932"/>
      <c r="P124"/>
      <c r="Q124"/>
      <c r="R124"/>
      <c r="S124"/>
      <c r="T124"/>
      <c r="U124"/>
      <c r="V124"/>
      <c r="W124"/>
      <c r="X124"/>
    </row>
    <row r="125" spans="1:24" s="106" customFormat="1" ht="15.75" hidden="1" customHeight="1" outlineLevel="1">
      <c r="A125" s="932"/>
      <c r="B125" s="1086"/>
      <c r="C125" s="1095"/>
      <c r="D125" s="1091"/>
      <c r="E125" s="1091"/>
      <c r="F125" s="1093"/>
      <c r="G125" s="98"/>
      <c r="H125" s="1091"/>
      <c r="I125" s="1091"/>
      <c r="J125" s="1084"/>
      <c r="K125" s="1084"/>
      <c r="L125" s="932"/>
      <c r="P125"/>
      <c r="Q125"/>
      <c r="R125"/>
      <c r="S125"/>
      <c r="T125"/>
      <c r="U125"/>
      <c r="V125"/>
      <c r="W125"/>
      <c r="X125"/>
    </row>
    <row r="126" spans="1:24" s="106" customFormat="1" ht="15.75" hidden="1" customHeight="1" outlineLevel="1">
      <c r="A126" s="932"/>
      <c r="B126" s="1087"/>
      <c r="C126" s="1096"/>
      <c r="D126" s="1092"/>
      <c r="E126" s="1092"/>
      <c r="F126" s="1094"/>
      <c r="G126" s="103"/>
      <c r="H126" s="1092"/>
      <c r="I126" s="1092"/>
      <c r="J126" s="1085"/>
      <c r="K126" s="1085"/>
      <c r="L126" s="932"/>
      <c r="P126"/>
      <c r="Q126"/>
      <c r="R126"/>
      <c r="S126"/>
      <c r="T126"/>
      <c r="U126"/>
      <c r="V126"/>
      <c r="W126"/>
      <c r="X126"/>
    </row>
    <row r="127" spans="1:24" s="106" customFormat="1" ht="15.75" hidden="1" customHeight="1" outlineLevel="1">
      <c r="A127" s="932"/>
      <c r="B127" s="1086">
        <v>39</v>
      </c>
      <c r="C127" s="1095"/>
      <c r="D127" s="1091"/>
      <c r="E127" s="1091" t="s">
        <v>20</v>
      </c>
      <c r="F127" s="1093" t="str">
        <f>VLOOKUP(E127,$N$13:$O$17,2,0)</f>
        <v>-</v>
      </c>
      <c r="G127" s="95"/>
      <c r="H127" s="1091"/>
      <c r="I127" s="1091"/>
      <c r="J127" s="1083"/>
      <c r="K127" s="1083"/>
      <c r="L127" s="932"/>
      <c r="P127"/>
      <c r="Q127"/>
      <c r="R127"/>
      <c r="S127"/>
      <c r="T127"/>
      <c r="U127"/>
      <c r="V127"/>
      <c r="W127"/>
      <c r="X127"/>
    </row>
    <row r="128" spans="1:24" s="106" customFormat="1" ht="15.75" hidden="1" customHeight="1" outlineLevel="1">
      <c r="A128" s="932"/>
      <c r="B128" s="1086"/>
      <c r="C128" s="1095"/>
      <c r="D128" s="1091"/>
      <c r="E128" s="1091"/>
      <c r="F128" s="1093"/>
      <c r="G128" s="98"/>
      <c r="H128" s="1091"/>
      <c r="I128" s="1091"/>
      <c r="J128" s="1084"/>
      <c r="K128" s="1084"/>
      <c r="L128" s="932"/>
      <c r="P128"/>
      <c r="Q128"/>
      <c r="R128"/>
      <c r="S128"/>
      <c r="T128"/>
      <c r="U128"/>
      <c r="V128"/>
      <c r="W128"/>
      <c r="X128"/>
    </row>
    <row r="129" spans="1:24" s="106" customFormat="1" ht="15.75" hidden="1" customHeight="1" outlineLevel="1">
      <c r="A129" s="932"/>
      <c r="B129" s="1087"/>
      <c r="C129" s="1096"/>
      <c r="D129" s="1092"/>
      <c r="E129" s="1092"/>
      <c r="F129" s="1094"/>
      <c r="G129" s="103"/>
      <c r="H129" s="1092"/>
      <c r="I129" s="1092"/>
      <c r="J129" s="1085"/>
      <c r="K129" s="1085"/>
      <c r="L129" s="932"/>
      <c r="P129"/>
      <c r="Q129"/>
      <c r="R129"/>
      <c r="S129"/>
      <c r="T129"/>
      <c r="U129"/>
      <c r="V129"/>
      <c r="W129"/>
      <c r="X129"/>
    </row>
    <row r="130" spans="1:24" s="106" customFormat="1" ht="15.75" hidden="1" customHeight="1" outlineLevel="1">
      <c r="A130" s="932"/>
      <c r="B130" s="1086">
        <v>40</v>
      </c>
      <c r="C130" s="1095"/>
      <c r="D130" s="1091"/>
      <c r="E130" s="1091" t="s">
        <v>20</v>
      </c>
      <c r="F130" s="1093" t="str">
        <f>VLOOKUP(E130,$N$13:$O$17,2,0)</f>
        <v>-</v>
      </c>
      <c r="G130" s="95"/>
      <c r="H130" s="1091"/>
      <c r="I130" s="1091"/>
      <c r="J130" s="1083"/>
      <c r="K130" s="1083"/>
      <c r="L130" s="932"/>
      <c r="P130"/>
      <c r="Q130"/>
      <c r="R130"/>
      <c r="S130"/>
      <c r="T130"/>
      <c r="U130"/>
      <c r="V130"/>
      <c r="W130"/>
      <c r="X130"/>
    </row>
    <row r="131" spans="1:24" s="106" customFormat="1" ht="15.75" hidden="1" customHeight="1" outlineLevel="1">
      <c r="A131" s="932"/>
      <c r="B131" s="1086"/>
      <c r="C131" s="1095"/>
      <c r="D131" s="1091"/>
      <c r="E131" s="1091"/>
      <c r="F131" s="1093"/>
      <c r="G131" s="98"/>
      <c r="H131" s="1091"/>
      <c r="I131" s="1091"/>
      <c r="J131" s="1084"/>
      <c r="K131" s="1084"/>
      <c r="L131" s="932"/>
      <c r="P131"/>
      <c r="Q131"/>
      <c r="R131"/>
      <c r="S131"/>
      <c r="T131"/>
      <c r="U131"/>
      <c r="V131"/>
      <c r="W131"/>
      <c r="X131"/>
    </row>
    <row r="132" spans="1:24" s="106" customFormat="1" ht="15.75" hidden="1" customHeight="1" outlineLevel="1">
      <c r="A132" s="932"/>
      <c r="B132" s="1087"/>
      <c r="C132" s="1096"/>
      <c r="D132" s="1092"/>
      <c r="E132" s="1092"/>
      <c r="F132" s="1094"/>
      <c r="G132" s="103"/>
      <c r="H132" s="1092"/>
      <c r="I132" s="1092"/>
      <c r="J132" s="1085"/>
      <c r="K132" s="1085"/>
      <c r="L132" s="932"/>
      <c r="P132"/>
      <c r="Q132"/>
      <c r="R132"/>
      <c r="S132"/>
      <c r="T132"/>
      <c r="U132"/>
      <c r="V132"/>
      <c r="W132"/>
      <c r="X132"/>
    </row>
    <row r="133" spans="1:24" s="106" customFormat="1" ht="15.75" hidden="1" customHeight="1" outlineLevel="1">
      <c r="A133" s="932"/>
      <c r="B133" s="1086">
        <v>41</v>
      </c>
      <c r="C133" s="1095"/>
      <c r="D133" s="1091"/>
      <c r="E133" s="1091" t="s">
        <v>20</v>
      </c>
      <c r="F133" s="1093" t="str">
        <f>VLOOKUP(E133,$N$13:$O$17,2,0)</f>
        <v>-</v>
      </c>
      <c r="G133" s="95"/>
      <c r="H133" s="1091"/>
      <c r="I133" s="1091"/>
      <c r="J133" s="1083"/>
      <c r="K133" s="1083"/>
      <c r="L133" s="932"/>
      <c r="P133"/>
      <c r="Q133"/>
      <c r="R133"/>
      <c r="S133"/>
      <c r="T133"/>
      <c r="U133"/>
      <c r="V133"/>
      <c r="W133"/>
      <c r="X133"/>
    </row>
    <row r="134" spans="1:24" s="106" customFormat="1" ht="15.75" hidden="1" customHeight="1" outlineLevel="1">
      <c r="A134" s="932"/>
      <c r="B134" s="1086"/>
      <c r="C134" s="1095"/>
      <c r="D134" s="1091"/>
      <c r="E134" s="1091"/>
      <c r="F134" s="1093"/>
      <c r="G134" s="98"/>
      <c r="H134" s="1091"/>
      <c r="I134" s="1091"/>
      <c r="J134" s="1084"/>
      <c r="K134" s="1084"/>
      <c r="L134" s="932"/>
      <c r="P134"/>
      <c r="Q134"/>
      <c r="R134"/>
      <c r="S134"/>
      <c r="T134"/>
      <c r="U134"/>
      <c r="V134"/>
      <c r="W134"/>
      <c r="X134"/>
    </row>
    <row r="135" spans="1:24" s="106" customFormat="1" ht="15.75" hidden="1" customHeight="1" outlineLevel="1">
      <c r="A135" s="932"/>
      <c r="B135" s="1087"/>
      <c r="C135" s="1096"/>
      <c r="D135" s="1092"/>
      <c r="E135" s="1092"/>
      <c r="F135" s="1094"/>
      <c r="G135" s="103"/>
      <c r="H135" s="1092"/>
      <c r="I135" s="1092"/>
      <c r="J135" s="1085"/>
      <c r="K135" s="1085"/>
      <c r="L135" s="932"/>
      <c r="P135"/>
      <c r="Q135"/>
      <c r="R135"/>
      <c r="S135"/>
      <c r="T135"/>
      <c r="U135"/>
      <c r="V135"/>
      <c r="W135"/>
      <c r="X135"/>
    </row>
    <row r="136" spans="1:24" s="106" customFormat="1" ht="15.75" hidden="1" customHeight="1" outlineLevel="1">
      <c r="A136" s="932"/>
      <c r="B136" s="1086">
        <v>42</v>
      </c>
      <c r="C136" s="1095"/>
      <c r="D136" s="1091"/>
      <c r="E136" s="1091" t="s">
        <v>20</v>
      </c>
      <c r="F136" s="1093" t="str">
        <f>VLOOKUP(E136,$N$13:$O$17,2,0)</f>
        <v>-</v>
      </c>
      <c r="G136" s="95"/>
      <c r="H136" s="1091"/>
      <c r="I136" s="1091"/>
      <c r="J136" s="1083"/>
      <c r="K136" s="1083"/>
      <c r="L136" s="932"/>
      <c r="P136"/>
      <c r="Q136"/>
      <c r="R136"/>
      <c r="S136"/>
      <c r="T136"/>
      <c r="U136"/>
      <c r="V136"/>
      <c r="W136"/>
      <c r="X136"/>
    </row>
    <row r="137" spans="1:24" s="106" customFormat="1" ht="15.75" hidden="1" customHeight="1" outlineLevel="1">
      <c r="A137" s="932"/>
      <c r="B137" s="1086"/>
      <c r="C137" s="1095"/>
      <c r="D137" s="1091"/>
      <c r="E137" s="1091"/>
      <c r="F137" s="1093"/>
      <c r="G137" s="98"/>
      <c r="H137" s="1091"/>
      <c r="I137" s="1091"/>
      <c r="J137" s="1084"/>
      <c r="K137" s="1084"/>
      <c r="L137" s="932"/>
      <c r="P137"/>
      <c r="Q137"/>
      <c r="R137"/>
      <c r="S137"/>
      <c r="T137"/>
      <c r="U137"/>
      <c r="V137"/>
      <c r="W137"/>
      <c r="X137"/>
    </row>
    <row r="138" spans="1:24" s="106" customFormat="1" ht="15.75" hidden="1" customHeight="1" outlineLevel="1">
      <c r="A138" s="932"/>
      <c r="B138" s="1087"/>
      <c r="C138" s="1096"/>
      <c r="D138" s="1092"/>
      <c r="E138" s="1092"/>
      <c r="F138" s="1094"/>
      <c r="G138" s="103"/>
      <c r="H138" s="1092"/>
      <c r="I138" s="1092"/>
      <c r="J138" s="1085"/>
      <c r="K138" s="1085"/>
      <c r="L138" s="932"/>
      <c r="P138"/>
      <c r="Q138"/>
      <c r="R138"/>
      <c r="S138"/>
      <c r="T138"/>
      <c r="U138"/>
      <c r="V138"/>
      <c r="W138"/>
      <c r="X138"/>
    </row>
    <row r="139" spans="1:24" s="106" customFormat="1" ht="15.75" hidden="1" customHeight="1" outlineLevel="1">
      <c r="A139" s="932"/>
      <c r="B139" s="1086">
        <v>43</v>
      </c>
      <c r="C139" s="1095"/>
      <c r="D139" s="1091"/>
      <c r="E139" s="1091" t="s">
        <v>20</v>
      </c>
      <c r="F139" s="1093" t="str">
        <f>VLOOKUP(E139,$N$13:$O$17,2,0)</f>
        <v>-</v>
      </c>
      <c r="G139" s="95"/>
      <c r="H139" s="1091"/>
      <c r="I139" s="1091"/>
      <c r="J139" s="1083"/>
      <c r="K139" s="1083"/>
      <c r="L139" s="932"/>
      <c r="P139"/>
      <c r="Q139"/>
      <c r="R139"/>
      <c r="S139"/>
      <c r="T139"/>
      <c r="U139"/>
      <c r="V139"/>
      <c r="W139"/>
      <c r="X139"/>
    </row>
    <row r="140" spans="1:24" s="106" customFormat="1" ht="15.75" hidden="1" customHeight="1" outlineLevel="1">
      <c r="A140" s="932"/>
      <c r="B140" s="1086"/>
      <c r="C140" s="1095"/>
      <c r="D140" s="1091"/>
      <c r="E140" s="1091"/>
      <c r="F140" s="1093"/>
      <c r="G140" s="98"/>
      <c r="H140" s="1091"/>
      <c r="I140" s="1091"/>
      <c r="J140" s="1084"/>
      <c r="K140" s="1084"/>
      <c r="L140" s="932"/>
      <c r="P140"/>
      <c r="Q140"/>
      <c r="R140"/>
      <c r="S140"/>
      <c r="T140"/>
      <c r="U140"/>
      <c r="V140"/>
      <c r="W140"/>
      <c r="X140"/>
    </row>
    <row r="141" spans="1:24" s="106" customFormat="1" ht="15.75" hidden="1" customHeight="1" outlineLevel="1">
      <c r="A141" s="932"/>
      <c r="B141" s="1087"/>
      <c r="C141" s="1096"/>
      <c r="D141" s="1092"/>
      <c r="E141" s="1092"/>
      <c r="F141" s="1094"/>
      <c r="G141" s="103"/>
      <c r="H141" s="1092"/>
      <c r="I141" s="1092"/>
      <c r="J141" s="1085"/>
      <c r="K141" s="1085"/>
      <c r="L141" s="932"/>
      <c r="P141"/>
      <c r="Q141"/>
      <c r="R141"/>
      <c r="S141"/>
      <c r="T141"/>
      <c r="U141"/>
      <c r="V141"/>
      <c r="W141"/>
      <c r="X141"/>
    </row>
    <row r="142" spans="1:24" s="106" customFormat="1" ht="15.75" hidden="1" customHeight="1" outlineLevel="1">
      <c r="A142" s="932"/>
      <c r="B142" s="1086">
        <v>44</v>
      </c>
      <c r="C142" s="1095"/>
      <c r="D142" s="1091"/>
      <c r="E142" s="1091" t="s">
        <v>20</v>
      </c>
      <c r="F142" s="1093" t="str">
        <f>VLOOKUP(E142,$N$13:$O$17,2,0)</f>
        <v>-</v>
      </c>
      <c r="G142" s="95"/>
      <c r="H142" s="93"/>
      <c r="I142" s="1091"/>
      <c r="J142" s="1083"/>
      <c r="K142" s="1083"/>
      <c r="L142" s="932"/>
      <c r="P142"/>
      <c r="Q142"/>
      <c r="R142"/>
      <c r="S142"/>
      <c r="T142"/>
      <c r="U142"/>
      <c r="V142"/>
      <c r="W142"/>
      <c r="X142"/>
    </row>
    <row r="143" spans="1:24" s="106" customFormat="1" ht="15.75" hidden="1" customHeight="1" outlineLevel="1">
      <c r="A143" s="932"/>
      <c r="B143" s="1086"/>
      <c r="C143" s="1095"/>
      <c r="D143" s="1091"/>
      <c r="E143" s="1091"/>
      <c r="F143" s="1093"/>
      <c r="G143" s="98"/>
      <c r="H143" s="93"/>
      <c r="I143" s="1091"/>
      <c r="J143" s="1084"/>
      <c r="K143" s="1084"/>
      <c r="L143" s="932"/>
      <c r="P143"/>
      <c r="Q143"/>
      <c r="R143"/>
      <c r="S143"/>
      <c r="T143"/>
      <c r="U143"/>
      <c r="V143"/>
      <c r="W143"/>
      <c r="X143"/>
    </row>
    <row r="144" spans="1:24" s="106" customFormat="1" ht="15.75" hidden="1" customHeight="1" outlineLevel="1">
      <c r="A144" s="932"/>
      <c r="B144" s="1087"/>
      <c r="C144" s="1096"/>
      <c r="D144" s="1092"/>
      <c r="E144" s="1092"/>
      <c r="F144" s="1094"/>
      <c r="G144" s="103"/>
      <c r="H144" s="101"/>
      <c r="I144" s="1092"/>
      <c r="J144" s="1085"/>
      <c r="K144" s="1085"/>
      <c r="L144" s="932"/>
      <c r="P144"/>
      <c r="Q144"/>
      <c r="R144"/>
      <c r="S144"/>
      <c r="T144"/>
      <c r="U144"/>
      <c r="V144"/>
      <c r="W144"/>
      <c r="X144"/>
    </row>
    <row r="145" spans="1:24" s="106" customFormat="1" ht="15.75" hidden="1" customHeight="1" outlineLevel="1">
      <c r="A145" s="932"/>
      <c r="B145" s="1086">
        <v>45</v>
      </c>
      <c r="C145" s="1095"/>
      <c r="D145" s="1091"/>
      <c r="E145" s="1091" t="s">
        <v>20</v>
      </c>
      <c r="F145" s="1093" t="str">
        <f>VLOOKUP(E145,$N$13:$O$17,2,0)</f>
        <v>-</v>
      </c>
      <c r="G145" s="95"/>
      <c r="H145" s="93"/>
      <c r="I145" s="1091"/>
      <c r="J145" s="1083"/>
      <c r="K145" s="1083"/>
      <c r="L145" s="932"/>
      <c r="P145"/>
      <c r="Q145"/>
      <c r="R145"/>
      <c r="S145"/>
      <c r="T145"/>
      <c r="U145"/>
      <c r="V145"/>
      <c r="W145"/>
      <c r="X145"/>
    </row>
    <row r="146" spans="1:24" s="106" customFormat="1" ht="15.75" hidden="1" customHeight="1" outlineLevel="1">
      <c r="A146" s="932"/>
      <c r="B146" s="1086"/>
      <c r="C146" s="1095"/>
      <c r="D146" s="1091"/>
      <c r="E146" s="1091"/>
      <c r="F146" s="1093"/>
      <c r="G146" s="98"/>
      <c r="H146" s="93"/>
      <c r="I146" s="1091"/>
      <c r="J146" s="1084"/>
      <c r="K146" s="1084"/>
      <c r="L146" s="932"/>
      <c r="P146"/>
      <c r="Q146"/>
      <c r="R146"/>
      <c r="S146"/>
      <c r="T146"/>
      <c r="U146"/>
      <c r="V146"/>
      <c r="W146"/>
      <c r="X146"/>
    </row>
    <row r="147" spans="1:24" s="106" customFormat="1" ht="15.75" hidden="1" customHeight="1" outlineLevel="1">
      <c r="A147" s="932"/>
      <c r="B147" s="1087"/>
      <c r="C147" s="1096"/>
      <c r="D147" s="1092"/>
      <c r="E147" s="1092"/>
      <c r="F147" s="1094"/>
      <c r="G147" s="103"/>
      <c r="H147" s="101"/>
      <c r="I147" s="1092"/>
      <c r="J147" s="1085"/>
      <c r="K147" s="1085"/>
      <c r="L147" s="932"/>
      <c r="P147"/>
      <c r="Q147"/>
      <c r="R147"/>
      <c r="S147"/>
      <c r="T147"/>
      <c r="U147"/>
      <c r="V147"/>
      <c r="W147"/>
      <c r="X147"/>
    </row>
    <row r="148" spans="1:24" s="106" customFormat="1" ht="15.75" hidden="1" customHeight="1" outlineLevel="1">
      <c r="A148" s="932"/>
      <c r="B148" s="1086">
        <v>46</v>
      </c>
      <c r="C148" s="1095"/>
      <c r="D148" s="1091"/>
      <c r="E148" s="1091" t="s">
        <v>20</v>
      </c>
      <c r="F148" s="1093" t="str">
        <f>VLOOKUP(E148,$N$13:$O$17,2,0)</f>
        <v>-</v>
      </c>
      <c r="G148" s="95"/>
      <c r="H148" s="93"/>
      <c r="I148" s="1091"/>
      <c r="J148" s="1083"/>
      <c r="K148" s="1083"/>
      <c r="L148" s="932"/>
      <c r="P148"/>
      <c r="Q148"/>
      <c r="R148"/>
      <c r="S148"/>
      <c r="T148"/>
      <c r="U148"/>
      <c r="V148"/>
      <c r="W148"/>
      <c r="X148"/>
    </row>
    <row r="149" spans="1:24" s="106" customFormat="1" ht="15.75" hidden="1" customHeight="1" outlineLevel="1">
      <c r="A149" s="932"/>
      <c r="B149" s="1086"/>
      <c r="C149" s="1095"/>
      <c r="D149" s="1091"/>
      <c r="E149" s="1091"/>
      <c r="F149" s="1093"/>
      <c r="G149" s="98"/>
      <c r="H149" s="93"/>
      <c r="I149" s="1091"/>
      <c r="J149" s="1084"/>
      <c r="K149" s="1084"/>
      <c r="L149" s="932"/>
      <c r="P149"/>
      <c r="Q149"/>
      <c r="R149"/>
      <c r="S149"/>
      <c r="T149"/>
      <c r="U149"/>
      <c r="V149"/>
      <c r="W149"/>
      <c r="X149"/>
    </row>
    <row r="150" spans="1:24" s="106" customFormat="1" ht="15.75" hidden="1" customHeight="1" outlineLevel="1">
      <c r="A150" s="932"/>
      <c r="B150" s="1087"/>
      <c r="C150" s="1096"/>
      <c r="D150" s="1092"/>
      <c r="E150" s="1092"/>
      <c r="F150" s="1094"/>
      <c r="G150" s="103"/>
      <c r="H150" s="101"/>
      <c r="I150" s="1092"/>
      <c r="J150" s="1085"/>
      <c r="K150" s="1085"/>
      <c r="L150" s="932"/>
      <c r="P150"/>
      <c r="Q150"/>
      <c r="R150"/>
      <c r="S150"/>
      <c r="T150"/>
      <c r="U150"/>
      <c r="V150"/>
      <c r="W150"/>
      <c r="X150"/>
    </row>
    <row r="151" spans="1:24" s="106" customFormat="1" ht="15.75" hidden="1" customHeight="1" outlineLevel="1">
      <c r="A151" s="932"/>
      <c r="B151" s="1086">
        <v>47</v>
      </c>
      <c r="C151" s="1095"/>
      <c r="D151" s="1091"/>
      <c r="E151" s="1091" t="s">
        <v>20</v>
      </c>
      <c r="F151" s="1093" t="str">
        <f>VLOOKUP(E151,$N$13:$O$17,2,0)</f>
        <v>-</v>
      </c>
      <c r="G151" s="95"/>
      <c r="H151" s="93"/>
      <c r="I151" s="1091"/>
      <c r="J151" s="1083"/>
      <c r="K151" s="1083"/>
      <c r="L151" s="932"/>
      <c r="P151"/>
      <c r="Q151"/>
      <c r="R151"/>
      <c r="S151"/>
      <c r="T151"/>
      <c r="U151"/>
      <c r="V151"/>
      <c r="W151"/>
      <c r="X151"/>
    </row>
    <row r="152" spans="1:24" s="106" customFormat="1" ht="15.75" hidden="1" customHeight="1" outlineLevel="1">
      <c r="A152" s="932"/>
      <c r="B152" s="1086"/>
      <c r="C152" s="1095"/>
      <c r="D152" s="1091"/>
      <c r="E152" s="1091"/>
      <c r="F152" s="1093"/>
      <c r="G152" s="98"/>
      <c r="H152" s="93"/>
      <c r="I152" s="1091"/>
      <c r="J152" s="1084"/>
      <c r="K152" s="1084"/>
      <c r="L152" s="932"/>
      <c r="P152"/>
      <c r="Q152"/>
      <c r="R152"/>
      <c r="S152"/>
      <c r="T152"/>
      <c r="U152"/>
      <c r="V152"/>
      <c r="W152"/>
      <c r="X152"/>
    </row>
    <row r="153" spans="1:24" s="106" customFormat="1" ht="15.75" hidden="1" customHeight="1" outlineLevel="1">
      <c r="A153" s="932"/>
      <c r="B153" s="1087"/>
      <c r="C153" s="1096"/>
      <c r="D153" s="1092"/>
      <c r="E153" s="1092"/>
      <c r="F153" s="1094"/>
      <c r="G153" s="103"/>
      <c r="H153" s="101"/>
      <c r="I153" s="1092"/>
      <c r="J153" s="1085"/>
      <c r="K153" s="1085"/>
      <c r="L153" s="932"/>
      <c r="P153"/>
      <c r="Q153"/>
      <c r="R153"/>
      <c r="S153"/>
      <c r="T153"/>
      <c r="U153"/>
      <c r="V153"/>
      <c r="W153"/>
      <c r="X153"/>
    </row>
    <row r="154" spans="1:24" s="106" customFormat="1" ht="15.75" hidden="1" customHeight="1" outlineLevel="1">
      <c r="A154" s="932"/>
      <c r="B154" s="1086">
        <v>48</v>
      </c>
      <c r="C154" s="1095"/>
      <c r="D154" s="1091"/>
      <c r="E154" s="1091" t="s">
        <v>20</v>
      </c>
      <c r="F154" s="1093" t="str">
        <f>VLOOKUP(E154,$N$13:$O$17,2,0)</f>
        <v>-</v>
      </c>
      <c r="G154" s="95"/>
      <c r="H154" s="93"/>
      <c r="I154" s="1091"/>
      <c r="J154" s="1083"/>
      <c r="K154" s="1083"/>
      <c r="L154" s="932"/>
      <c r="P154"/>
      <c r="Q154"/>
      <c r="R154"/>
      <c r="S154"/>
      <c r="T154"/>
      <c r="U154"/>
      <c r="V154"/>
      <c r="W154"/>
      <c r="X154"/>
    </row>
    <row r="155" spans="1:24" s="106" customFormat="1" ht="15.75" hidden="1" customHeight="1" outlineLevel="1">
      <c r="A155" s="932"/>
      <c r="B155" s="1086"/>
      <c r="C155" s="1095"/>
      <c r="D155" s="1091"/>
      <c r="E155" s="1091"/>
      <c r="F155" s="1093"/>
      <c r="G155" s="98"/>
      <c r="H155" s="93"/>
      <c r="I155" s="1091"/>
      <c r="J155" s="1084"/>
      <c r="K155" s="1084"/>
      <c r="L155" s="932"/>
      <c r="P155"/>
      <c r="Q155"/>
      <c r="R155"/>
      <c r="S155"/>
      <c r="T155"/>
      <c r="U155"/>
      <c r="V155"/>
      <c r="W155"/>
      <c r="X155"/>
    </row>
    <row r="156" spans="1:24" s="106" customFormat="1" ht="15.75" hidden="1" customHeight="1" outlineLevel="1">
      <c r="A156" s="932"/>
      <c r="B156" s="1087"/>
      <c r="C156" s="1096"/>
      <c r="D156" s="1092"/>
      <c r="E156" s="1092"/>
      <c r="F156" s="1094"/>
      <c r="G156" s="103"/>
      <c r="H156" s="101"/>
      <c r="I156" s="1092"/>
      <c r="J156" s="1085"/>
      <c r="K156" s="1085"/>
      <c r="L156" s="932"/>
      <c r="P156"/>
      <c r="Q156"/>
      <c r="R156"/>
      <c r="S156"/>
      <c r="T156"/>
      <c r="U156"/>
      <c r="V156"/>
      <c r="W156"/>
      <c r="X156"/>
    </row>
    <row r="157" spans="1:24" s="106" customFormat="1" ht="15.75" hidden="1" customHeight="1" outlineLevel="1">
      <c r="A157" s="932"/>
      <c r="B157" s="1086">
        <v>49</v>
      </c>
      <c r="C157" s="1095"/>
      <c r="D157" s="1091"/>
      <c r="E157" s="1091" t="s">
        <v>20</v>
      </c>
      <c r="F157" s="1093" t="str">
        <f>VLOOKUP(E157,$N$13:$O$17,2,0)</f>
        <v>-</v>
      </c>
      <c r="G157" s="95"/>
      <c r="H157" s="93"/>
      <c r="I157" s="1091"/>
      <c r="J157" s="1083"/>
      <c r="K157" s="1083"/>
      <c r="L157" s="932"/>
      <c r="P157"/>
      <c r="Q157"/>
      <c r="R157"/>
      <c r="S157"/>
      <c r="T157"/>
      <c r="U157"/>
      <c r="V157"/>
      <c r="W157"/>
      <c r="X157"/>
    </row>
    <row r="158" spans="1:24" s="106" customFormat="1" ht="15.75" hidden="1" customHeight="1" outlineLevel="1">
      <c r="A158" s="932"/>
      <c r="B158" s="1086"/>
      <c r="C158" s="1095"/>
      <c r="D158" s="1091"/>
      <c r="E158" s="1091"/>
      <c r="F158" s="1093"/>
      <c r="G158" s="98"/>
      <c r="H158" s="93"/>
      <c r="I158" s="1091"/>
      <c r="J158" s="1084"/>
      <c r="K158" s="1084"/>
      <c r="L158" s="932"/>
      <c r="P158"/>
      <c r="Q158"/>
      <c r="R158"/>
      <c r="S158"/>
      <c r="T158"/>
      <c r="U158"/>
      <c r="V158"/>
      <c r="W158"/>
      <c r="X158"/>
    </row>
    <row r="159" spans="1:24" s="106" customFormat="1" ht="15.75" hidden="1" customHeight="1" outlineLevel="1">
      <c r="A159" s="932"/>
      <c r="B159" s="1087"/>
      <c r="C159" s="1096"/>
      <c r="D159" s="1092"/>
      <c r="E159" s="1092"/>
      <c r="F159" s="1094"/>
      <c r="G159" s="103"/>
      <c r="H159" s="101"/>
      <c r="I159" s="1092"/>
      <c r="J159" s="1085"/>
      <c r="K159" s="1085"/>
      <c r="L159" s="932"/>
      <c r="P159"/>
      <c r="Q159"/>
      <c r="R159"/>
      <c r="S159"/>
      <c r="T159"/>
      <c r="U159"/>
      <c r="V159"/>
      <c r="W159"/>
      <c r="X159"/>
    </row>
    <row r="160" spans="1:24" s="106" customFormat="1" ht="15.75" hidden="1" customHeight="1" outlineLevel="1">
      <c r="A160" s="932"/>
      <c r="B160" s="1086">
        <v>50</v>
      </c>
      <c r="C160" s="1095"/>
      <c r="D160" s="1091"/>
      <c r="E160" s="1091" t="s">
        <v>20</v>
      </c>
      <c r="F160" s="1093" t="str">
        <f>VLOOKUP(E160,$N$13:$O$17,2,0)</f>
        <v>-</v>
      </c>
      <c r="G160" s="95"/>
      <c r="H160" s="93"/>
      <c r="I160" s="1091"/>
      <c r="J160" s="1083"/>
      <c r="K160" s="1083"/>
      <c r="L160" s="932"/>
      <c r="P160"/>
      <c r="Q160"/>
      <c r="R160"/>
      <c r="S160"/>
      <c r="T160"/>
      <c r="U160"/>
      <c r="V160"/>
      <c r="W160"/>
      <c r="X160"/>
    </row>
    <row r="161" spans="1:24" s="106" customFormat="1" ht="15.75" hidden="1" customHeight="1" outlineLevel="1">
      <c r="A161" s="932"/>
      <c r="B161" s="1086"/>
      <c r="C161" s="1095"/>
      <c r="D161" s="1091"/>
      <c r="E161" s="1091"/>
      <c r="F161" s="1093"/>
      <c r="G161" s="98"/>
      <c r="H161" s="93"/>
      <c r="I161" s="1091"/>
      <c r="J161" s="1084"/>
      <c r="K161" s="1084"/>
      <c r="L161" s="932"/>
      <c r="P161"/>
      <c r="Q161"/>
      <c r="R161"/>
      <c r="S161"/>
      <c r="T161"/>
      <c r="U161"/>
      <c r="V161"/>
      <c r="W161"/>
      <c r="X161"/>
    </row>
    <row r="162" spans="1:24" s="106" customFormat="1" ht="15.75" hidden="1" customHeight="1" outlineLevel="1">
      <c r="A162" s="932"/>
      <c r="B162" s="1087"/>
      <c r="C162" s="1096"/>
      <c r="D162" s="1092"/>
      <c r="E162" s="1092"/>
      <c r="F162" s="1094"/>
      <c r="G162" s="103"/>
      <c r="H162" s="101"/>
      <c r="I162" s="1092"/>
      <c r="J162" s="1085"/>
      <c r="K162" s="1085"/>
      <c r="L162" s="932"/>
      <c r="P162"/>
      <c r="Q162"/>
      <c r="R162"/>
      <c r="S162"/>
      <c r="T162"/>
      <c r="U162"/>
      <c r="V162"/>
      <c r="W162"/>
      <c r="X162"/>
    </row>
    <row r="163" spans="1:24" s="106" customFormat="1" ht="15.75" hidden="1" customHeight="1" outlineLevel="1">
      <c r="A163" s="932"/>
      <c r="B163" s="1086">
        <v>51</v>
      </c>
      <c r="C163" s="1095"/>
      <c r="D163" s="1091"/>
      <c r="E163" s="1091" t="s">
        <v>20</v>
      </c>
      <c r="F163" s="1093" t="str">
        <f>VLOOKUP(E163,$N$13:$O$17,2,0)</f>
        <v>-</v>
      </c>
      <c r="G163" s="95"/>
      <c r="H163" s="93"/>
      <c r="I163" s="1091"/>
      <c r="J163" s="1083"/>
      <c r="K163" s="1083"/>
      <c r="L163" s="932"/>
      <c r="P163"/>
      <c r="Q163"/>
      <c r="R163"/>
      <c r="S163"/>
      <c r="T163"/>
      <c r="U163"/>
      <c r="V163"/>
      <c r="W163"/>
      <c r="X163"/>
    </row>
    <row r="164" spans="1:24" s="106" customFormat="1" ht="15.75" hidden="1" customHeight="1" outlineLevel="1">
      <c r="A164" s="932"/>
      <c r="B164" s="1086"/>
      <c r="C164" s="1095"/>
      <c r="D164" s="1091"/>
      <c r="E164" s="1091"/>
      <c r="F164" s="1093"/>
      <c r="G164" s="98"/>
      <c r="H164" s="93"/>
      <c r="I164" s="1091"/>
      <c r="J164" s="1084"/>
      <c r="K164" s="1084"/>
      <c r="L164" s="932"/>
      <c r="P164"/>
      <c r="Q164"/>
      <c r="R164"/>
      <c r="S164"/>
      <c r="T164"/>
      <c r="U164"/>
      <c r="V164"/>
      <c r="W164"/>
      <c r="X164"/>
    </row>
    <row r="165" spans="1:24" s="106" customFormat="1" ht="15.75" hidden="1" customHeight="1" outlineLevel="1">
      <c r="A165" s="932"/>
      <c r="B165" s="1087"/>
      <c r="C165" s="1096"/>
      <c r="D165" s="1092"/>
      <c r="E165" s="1092"/>
      <c r="F165" s="1094"/>
      <c r="G165" s="103"/>
      <c r="H165" s="101"/>
      <c r="I165" s="1092"/>
      <c r="J165" s="1085"/>
      <c r="K165" s="1085"/>
      <c r="L165" s="932"/>
      <c r="P165"/>
      <c r="Q165"/>
      <c r="R165"/>
      <c r="S165"/>
      <c r="T165"/>
      <c r="U165"/>
      <c r="V165"/>
      <c r="W165"/>
      <c r="X165"/>
    </row>
    <row r="166" spans="1:24" s="106" customFormat="1" ht="15.75" hidden="1" customHeight="1" outlineLevel="1">
      <c r="A166" s="932"/>
      <c r="B166" s="1086">
        <v>52</v>
      </c>
      <c r="C166" s="1095"/>
      <c r="D166" s="1091"/>
      <c r="E166" s="1091" t="s">
        <v>20</v>
      </c>
      <c r="F166" s="1093" t="str">
        <f>VLOOKUP(E166,$N$13:$O$17,2,0)</f>
        <v>-</v>
      </c>
      <c r="G166" s="95"/>
      <c r="H166" s="93"/>
      <c r="I166" s="1091"/>
      <c r="J166" s="1083"/>
      <c r="K166" s="1083"/>
      <c r="L166" s="932"/>
      <c r="P166"/>
      <c r="Q166"/>
      <c r="R166"/>
      <c r="S166"/>
      <c r="T166"/>
      <c r="U166"/>
      <c r="V166"/>
      <c r="W166"/>
      <c r="X166"/>
    </row>
    <row r="167" spans="1:24" s="106" customFormat="1" ht="15.75" hidden="1" customHeight="1" outlineLevel="1">
      <c r="A167" s="932"/>
      <c r="B167" s="1086"/>
      <c r="C167" s="1095"/>
      <c r="D167" s="1091"/>
      <c r="E167" s="1091"/>
      <c r="F167" s="1093"/>
      <c r="G167" s="98"/>
      <c r="H167" s="93"/>
      <c r="I167" s="1091"/>
      <c r="J167" s="1084"/>
      <c r="K167" s="1084"/>
      <c r="L167" s="932"/>
      <c r="P167"/>
      <c r="Q167"/>
      <c r="R167"/>
      <c r="S167"/>
      <c r="T167"/>
      <c r="U167"/>
      <c r="V167"/>
      <c r="W167"/>
      <c r="X167"/>
    </row>
    <row r="168" spans="1:24" s="106" customFormat="1" ht="15.75" hidden="1" customHeight="1" outlineLevel="1">
      <c r="A168" s="932"/>
      <c r="B168" s="1087"/>
      <c r="C168" s="1096"/>
      <c r="D168" s="1092"/>
      <c r="E168" s="1092"/>
      <c r="F168" s="1094"/>
      <c r="G168" s="103"/>
      <c r="H168" s="101"/>
      <c r="I168" s="1092"/>
      <c r="J168" s="1085"/>
      <c r="K168" s="1085"/>
      <c r="L168" s="932"/>
      <c r="P168"/>
      <c r="Q168"/>
      <c r="R168"/>
      <c r="S168"/>
      <c r="T168"/>
      <c r="U168"/>
      <c r="V168"/>
      <c r="W168"/>
      <c r="X168"/>
    </row>
    <row r="169" spans="1:24" s="106" customFormat="1" ht="15.75" hidden="1" customHeight="1" outlineLevel="1">
      <c r="A169" s="932"/>
      <c r="B169" s="1086">
        <v>53</v>
      </c>
      <c r="C169" s="1095"/>
      <c r="D169" s="1091"/>
      <c r="E169" s="1091" t="s">
        <v>20</v>
      </c>
      <c r="F169" s="1093" t="str">
        <f>VLOOKUP(E169,$N$13:$O$17,2,0)</f>
        <v>-</v>
      </c>
      <c r="G169" s="95"/>
      <c r="H169" s="93"/>
      <c r="I169" s="1091"/>
      <c r="J169" s="1083"/>
      <c r="K169" s="1083"/>
      <c r="L169" s="932"/>
      <c r="P169"/>
      <c r="Q169"/>
      <c r="R169"/>
      <c r="S169"/>
      <c r="T169"/>
      <c r="U169"/>
      <c r="V169"/>
      <c r="W169"/>
      <c r="X169"/>
    </row>
    <row r="170" spans="1:24" s="106" customFormat="1" ht="15.75" hidden="1" customHeight="1" outlineLevel="1">
      <c r="A170" s="932"/>
      <c r="B170" s="1086"/>
      <c r="C170" s="1095"/>
      <c r="D170" s="1091"/>
      <c r="E170" s="1091"/>
      <c r="F170" s="1093"/>
      <c r="G170" s="98"/>
      <c r="H170" s="93"/>
      <c r="I170" s="1091"/>
      <c r="J170" s="1084"/>
      <c r="K170" s="1084"/>
      <c r="L170" s="932"/>
      <c r="P170"/>
      <c r="Q170"/>
      <c r="R170"/>
      <c r="S170"/>
      <c r="T170"/>
      <c r="U170"/>
      <c r="V170"/>
      <c r="W170"/>
      <c r="X170"/>
    </row>
    <row r="171" spans="1:24" s="106" customFormat="1" ht="15.75" hidden="1" customHeight="1" outlineLevel="1">
      <c r="A171" s="932"/>
      <c r="B171" s="1087"/>
      <c r="C171" s="1096"/>
      <c r="D171" s="1092"/>
      <c r="E171" s="1092"/>
      <c r="F171" s="1094"/>
      <c r="G171" s="103"/>
      <c r="H171" s="101"/>
      <c r="I171" s="1092"/>
      <c r="J171" s="1085"/>
      <c r="K171" s="1085"/>
      <c r="L171" s="932"/>
      <c r="P171"/>
      <c r="Q171"/>
      <c r="R171"/>
      <c r="S171"/>
      <c r="T171"/>
      <c r="U171"/>
      <c r="V171"/>
      <c r="W171"/>
      <c r="X171"/>
    </row>
    <row r="172" spans="1:24" s="106" customFormat="1" ht="15.75" hidden="1" customHeight="1" outlineLevel="1">
      <c r="A172" s="932"/>
      <c r="B172" s="1086">
        <v>54</v>
      </c>
      <c r="C172" s="1095"/>
      <c r="D172" s="1091"/>
      <c r="E172" s="1091" t="s">
        <v>20</v>
      </c>
      <c r="F172" s="1093" t="str">
        <f>VLOOKUP(E172,$N$13:$O$17,2,0)</f>
        <v>-</v>
      </c>
      <c r="G172" s="95"/>
      <c r="H172" s="93"/>
      <c r="I172" s="1091"/>
      <c r="J172" s="1083"/>
      <c r="K172" s="1083"/>
      <c r="L172" s="932"/>
      <c r="P172"/>
      <c r="Q172"/>
      <c r="R172"/>
      <c r="S172"/>
      <c r="T172"/>
      <c r="U172"/>
      <c r="V172"/>
      <c r="W172"/>
      <c r="X172"/>
    </row>
    <row r="173" spans="1:24" s="106" customFormat="1" ht="15.75" hidden="1" customHeight="1" outlineLevel="1">
      <c r="A173" s="932"/>
      <c r="B173" s="1086"/>
      <c r="C173" s="1095"/>
      <c r="D173" s="1091"/>
      <c r="E173" s="1091"/>
      <c r="F173" s="1093"/>
      <c r="G173" s="98"/>
      <c r="H173" s="93"/>
      <c r="I173" s="1091"/>
      <c r="J173" s="1084"/>
      <c r="K173" s="1084"/>
      <c r="L173" s="932"/>
      <c r="P173"/>
      <c r="Q173"/>
      <c r="R173"/>
      <c r="S173"/>
      <c r="T173"/>
      <c r="U173"/>
      <c r="V173"/>
      <c r="W173"/>
      <c r="X173"/>
    </row>
    <row r="174" spans="1:24" s="106" customFormat="1" ht="15.75" hidden="1" customHeight="1" outlineLevel="1">
      <c r="A174" s="932"/>
      <c r="B174" s="1087"/>
      <c r="C174" s="1096"/>
      <c r="D174" s="1092"/>
      <c r="E174" s="1092"/>
      <c r="F174" s="1094"/>
      <c r="G174" s="103"/>
      <c r="H174" s="101"/>
      <c r="I174" s="1092"/>
      <c r="J174" s="1085"/>
      <c r="K174" s="1085"/>
      <c r="L174" s="932"/>
      <c r="P174"/>
      <c r="Q174"/>
      <c r="R174"/>
      <c r="S174"/>
      <c r="T174"/>
      <c r="U174"/>
      <c r="V174"/>
      <c r="W174"/>
      <c r="X174"/>
    </row>
    <row r="175" spans="1:24" s="106" customFormat="1" ht="15.75" hidden="1" customHeight="1" outlineLevel="1">
      <c r="A175" s="932"/>
      <c r="B175" s="1086">
        <v>55</v>
      </c>
      <c r="C175" s="1095"/>
      <c r="D175" s="1091"/>
      <c r="E175" s="1091" t="s">
        <v>20</v>
      </c>
      <c r="F175" s="1093" t="str">
        <f>VLOOKUP(E175,$N$13:$O$17,2,0)</f>
        <v>-</v>
      </c>
      <c r="G175" s="95"/>
      <c r="H175" s="93"/>
      <c r="I175" s="1091"/>
      <c r="J175" s="1083"/>
      <c r="K175" s="1083"/>
      <c r="L175" s="932"/>
      <c r="P175"/>
      <c r="Q175"/>
      <c r="R175"/>
      <c r="S175"/>
      <c r="T175"/>
      <c r="U175"/>
      <c r="V175"/>
      <c r="W175"/>
      <c r="X175"/>
    </row>
    <row r="176" spans="1:24" s="106" customFormat="1" ht="15.75" hidden="1" customHeight="1" outlineLevel="1">
      <c r="A176" s="932"/>
      <c r="B176" s="1086"/>
      <c r="C176" s="1095"/>
      <c r="D176" s="1091"/>
      <c r="E176" s="1091"/>
      <c r="F176" s="1093"/>
      <c r="G176" s="98"/>
      <c r="H176" s="93"/>
      <c r="I176" s="1091"/>
      <c r="J176" s="1084"/>
      <c r="K176" s="1084"/>
      <c r="L176" s="932"/>
      <c r="P176"/>
      <c r="Q176"/>
      <c r="R176"/>
      <c r="S176"/>
      <c r="T176"/>
      <c r="U176"/>
      <c r="V176"/>
      <c r="W176"/>
      <c r="X176"/>
    </row>
    <row r="177" spans="1:24" s="106" customFormat="1" ht="15.75" hidden="1" customHeight="1" outlineLevel="1">
      <c r="A177" s="932"/>
      <c r="B177" s="1087"/>
      <c r="C177" s="1096"/>
      <c r="D177" s="1092"/>
      <c r="E177" s="1092"/>
      <c r="F177" s="1094"/>
      <c r="G177" s="103"/>
      <c r="H177" s="101"/>
      <c r="I177" s="1092"/>
      <c r="J177" s="1085"/>
      <c r="K177" s="1085"/>
      <c r="L177" s="932"/>
      <c r="P177"/>
      <c r="Q177"/>
      <c r="R177"/>
      <c r="S177"/>
      <c r="T177"/>
      <c r="U177"/>
      <c r="V177"/>
      <c r="W177"/>
      <c r="X177"/>
    </row>
    <row r="178" spans="1:24" s="106" customFormat="1" ht="15.75" hidden="1" customHeight="1" outlineLevel="1">
      <c r="A178" s="932"/>
      <c r="B178" s="1086">
        <v>56</v>
      </c>
      <c r="C178" s="1095"/>
      <c r="D178" s="1091"/>
      <c r="E178" s="1091" t="s">
        <v>20</v>
      </c>
      <c r="F178" s="1093" t="str">
        <f>VLOOKUP(E178,$N$13:$O$17,2,0)</f>
        <v>-</v>
      </c>
      <c r="G178" s="95"/>
      <c r="H178" s="93"/>
      <c r="I178" s="1091"/>
      <c r="J178" s="1083"/>
      <c r="K178" s="1083"/>
      <c r="L178" s="932"/>
      <c r="P178"/>
      <c r="Q178"/>
      <c r="R178"/>
      <c r="S178"/>
      <c r="T178"/>
      <c r="U178"/>
      <c r="V178"/>
      <c r="W178"/>
      <c r="X178"/>
    </row>
    <row r="179" spans="1:24" s="106" customFormat="1" ht="15.75" hidden="1" customHeight="1" outlineLevel="1">
      <c r="A179" s="932"/>
      <c r="B179" s="1086"/>
      <c r="C179" s="1095"/>
      <c r="D179" s="1091"/>
      <c r="E179" s="1091"/>
      <c r="F179" s="1093"/>
      <c r="G179" s="98"/>
      <c r="H179" s="93"/>
      <c r="I179" s="1091"/>
      <c r="J179" s="1084"/>
      <c r="K179" s="1084"/>
      <c r="L179" s="932"/>
      <c r="P179"/>
      <c r="Q179"/>
      <c r="R179"/>
      <c r="S179"/>
      <c r="T179"/>
      <c r="U179"/>
      <c r="V179"/>
      <c r="W179"/>
      <c r="X179"/>
    </row>
    <row r="180" spans="1:24" s="106" customFormat="1" ht="15.75" hidden="1" customHeight="1" outlineLevel="1">
      <c r="A180" s="932"/>
      <c r="B180" s="1087"/>
      <c r="C180" s="1096"/>
      <c r="D180" s="1092"/>
      <c r="E180" s="1092"/>
      <c r="F180" s="1094"/>
      <c r="G180" s="103"/>
      <c r="H180" s="101"/>
      <c r="I180" s="1092"/>
      <c r="J180" s="1085"/>
      <c r="K180" s="1085"/>
      <c r="L180" s="932"/>
      <c r="P180"/>
      <c r="Q180"/>
      <c r="R180"/>
      <c r="S180"/>
      <c r="T180"/>
      <c r="U180"/>
      <c r="V180"/>
      <c r="W180"/>
      <c r="X180"/>
    </row>
    <row r="181" spans="1:24" s="106" customFormat="1" ht="15.75" hidden="1" customHeight="1" outlineLevel="1">
      <c r="A181" s="932"/>
      <c r="B181" s="1086">
        <v>57</v>
      </c>
      <c r="C181" s="1095"/>
      <c r="D181" s="1091"/>
      <c r="E181" s="1091" t="s">
        <v>20</v>
      </c>
      <c r="F181" s="1093" t="str">
        <f>VLOOKUP(E181,$N$13:$O$17,2,0)</f>
        <v>-</v>
      </c>
      <c r="G181" s="95"/>
      <c r="H181" s="93"/>
      <c r="I181" s="1091"/>
      <c r="J181" s="1083"/>
      <c r="K181" s="1083"/>
      <c r="L181" s="932"/>
      <c r="P181"/>
      <c r="Q181"/>
      <c r="R181"/>
      <c r="S181"/>
      <c r="T181"/>
      <c r="U181"/>
      <c r="V181"/>
      <c r="W181"/>
      <c r="X181"/>
    </row>
    <row r="182" spans="1:24" s="106" customFormat="1" ht="15.75" hidden="1" customHeight="1" outlineLevel="1">
      <c r="A182" s="932"/>
      <c r="B182" s="1086"/>
      <c r="C182" s="1095"/>
      <c r="D182" s="1091"/>
      <c r="E182" s="1091"/>
      <c r="F182" s="1093"/>
      <c r="G182" s="98"/>
      <c r="H182" s="93"/>
      <c r="I182" s="1091"/>
      <c r="J182" s="1084"/>
      <c r="K182" s="1084"/>
      <c r="L182" s="932"/>
      <c r="P182"/>
      <c r="Q182"/>
      <c r="R182"/>
      <c r="S182"/>
      <c r="T182"/>
      <c r="U182"/>
      <c r="V182"/>
      <c r="W182"/>
      <c r="X182"/>
    </row>
    <row r="183" spans="1:24" s="106" customFormat="1" ht="15.75" hidden="1" customHeight="1" outlineLevel="1">
      <c r="A183" s="932"/>
      <c r="B183" s="1087"/>
      <c r="C183" s="1096"/>
      <c r="D183" s="1092"/>
      <c r="E183" s="1092"/>
      <c r="F183" s="1094"/>
      <c r="G183" s="103"/>
      <c r="H183" s="101"/>
      <c r="I183" s="1092"/>
      <c r="J183" s="1085"/>
      <c r="K183" s="1085"/>
      <c r="L183" s="932"/>
      <c r="P183"/>
      <c r="Q183"/>
      <c r="R183"/>
      <c r="S183"/>
      <c r="T183"/>
      <c r="U183"/>
      <c r="V183"/>
      <c r="W183"/>
      <c r="X183"/>
    </row>
    <row r="184" spans="1:24" s="106" customFormat="1" ht="15.75" hidden="1" customHeight="1" outlineLevel="1">
      <c r="A184" s="932"/>
      <c r="B184" s="1086">
        <v>58</v>
      </c>
      <c r="C184" s="1095"/>
      <c r="D184" s="1091"/>
      <c r="E184" s="1091" t="s">
        <v>20</v>
      </c>
      <c r="F184" s="1093" t="str">
        <f>VLOOKUP(E184,$N$13:$O$17,2,0)</f>
        <v>-</v>
      </c>
      <c r="G184" s="95"/>
      <c r="H184" s="93"/>
      <c r="I184" s="1091"/>
      <c r="J184" s="1083"/>
      <c r="K184" s="1083"/>
      <c r="L184" s="932"/>
      <c r="P184"/>
      <c r="Q184"/>
      <c r="R184"/>
      <c r="S184"/>
      <c r="T184"/>
      <c r="U184"/>
      <c r="V184"/>
      <c r="W184"/>
      <c r="X184"/>
    </row>
    <row r="185" spans="1:24" s="106" customFormat="1" ht="15.75" hidden="1" customHeight="1" outlineLevel="1">
      <c r="A185" s="932"/>
      <c r="B185" s="1086"/>
      <c r="C185" s="1095"/>
      <c r="D185" s="1091"/>
      <c r="E185" s="1091"/>
      <c r="F185" s="1093"/>
      <c r="G185" s="98"/>
      <c r="H185" s="93"/>
      <c r="I185" s="1091"/>
      <c r="J185" s="1084"/>
      <c r="K185" s="1084"/>
      <c r="L185" s="932"/>
      <c r="P185"/>
      <c r="Q185"/>
      <c r="R185"/>
      <c r="S185"/>
      <c r="T185"/>
      <c r="U185"/>
      <c r="V185"/>
      <c r="W185"/>
      <c r="X185"/>
    </row>
    <row r="186" spans="1:24" s="106" customFormat="1" ht="15.75" hidden="1" customHeight="1" outlineLevel="1">
      <c r="A186" s="932"/>
      <c r="B186" s="1087"/>
      <c r="C186" s="1096"/>
      <c r="D186" s="1092"/>
      <c r="E186" s="1092"/>
      <c r="F186" s="1094"/>
      <c r="G186" s="103"/>
      <c r="H186" s="101"/>
      <c r="I186" s="1092"/>
      <c r="J186" s="1085"/>
      <c r="K186" s="1085"/>
      <c r="L186" s="932"/>
      <c r="P186"/>
      <c r="Q186"/>
      <c r="R186"/>
      <c r="S186"/>
      <c r="T186"/>
      <c r="U186"/>
      <c r="V186"/>
      <c r="W186"/>
      <c r="X186"/>
    </row>
    <row r="187" spans="1:24" s="106" customFormat="1" ht="15.75" hidden="1" customHeight="1" outlineLevel="1">
      <c r="A187" s="932"/>
      <c r="B187" s="1086">
        <v>59</v>
      </c>
      <c r="C187" s="1095"/>
      <c r="D187" s="1091"/>
      <c r="E187" s="1091" t="s">
        <v>20</v>
      </c>
      <c r="F187" s="1093" t="str">
        <f>VLOOKUP(E187,$N$13:$O$17,2,0)</f>
        <v>-</v>
      </c>
      <c r="G187" s="95"/>
      <c r="H187" s="93"/>
      <c r="I187" s="1091"/>
      <c r="J187" s="1083"/>
      <c r="K187" s="1083"/>
      <c r="L187" s="932"/>
      <c r="P187"/>
      <c r="Q187"/>
      <c r="R187"/>
      <c r="S187"/>
      <c r="T187"/>
      <c r="U187"/>
      <c r="V187"/>
      <c r="W187"/>
      <c r="X187"/>
    </row>
    <row r="188" spans="1:24" s="106" customFormat="1" ht="15.75" hidden="1" customHeight="1" outlineLevel="1">
      <c r="A188" s="932"/>
      <c r="B188" s="1086"/>
      <c r="C188" s="1095"/>
      <c r="D188" s="1091"/>
      <c r="E188" s="1091"/>
      <c r="F188" s="1093"/>
      <c r="G188" s="98"/>
      <c r="H188" s="93"/>
      <c r="I188" s="1091"/>
      <c r="J188" s="1084"/>
      <c r="K188" s="1084"/>
      <c r="L188" s="932"/>
      <c r="P188"/>
      <c r="Q188"/>
      <c r="R188"/>
      <c r="S188"/>
      <c r="T188"/>
      <c r="U188"/>
      <c r="V188"/>
      <c r="W188"/>
      <c r="X188"/>
    </row>
    <row r="189" spans="1:24" s="106" customFormat="1" ht="15.75" hidden="1" customHeight="1" outlineLevel="1">
      <c r="A189" s="932"/>
      <c r="B189" s="1087"/>
      <c r="C189" s="1096"/>
      <c r="D189" s="1092"/>
      <c r="E189" s="1092"/>
      <c r="F189" s="1094"/>
      <c r="G189" s="103"/>
      <c r="H189" s="101"/>
      <c r="I189" s="1092"/>
      <c r="J189" s="1085"/>
      <c r="K189" s="1085"/>
      <c r="L189" s="932"/>
      <c r="P189"/>
      <c r="Q189"/>
      <c r="R189"/>
      <c r="S189"/>
      <c r="T189"/>
      <c r="U189"/>
      <c r="V189"/>
      <c r="W189"/>
      <c r="X189"/>
    </row>
    <row r="190" spans="1:24" s="106" customFormat="1" ht="15.75" hidden="1" customHeight="1" outlineLevel="1">
      <c r="A190" s="932"/>
      <c r="B190" s="1086">
        <v>60</v>
      </c>
      <c r="C190" s="1095"/>
      <c r="D190" s="1091"/>
      <c r="E190" s="1091" t="s">
        <v>20</v>
      </c>
      <c r="F190" s="1093" t="str">
        <f>VLOOKUP(E190,$N$13:$O$17,2,0)</f>
        <v>-</v>
      </c>
      <c r="G190" s="95"/>
      <c r="H190" s="93"/>
      <c r="I190" s="1091"/>
      <c r="J190" s="1083"/>
      <c r="K190" s="1083"/>
      <c r="L190" s="932"/>
      <c r="P190"/>
      <c r="Q190"/>
      <c r="R190"/>
      <c r="S190"/>
      <c r="T190"/>
      <c r="U190"/>
      <c r="V190"/>
      <c r="W190"/>
      <c r="X190"/>
    </row>
    <row r="191" spans="1:24" s="106" customFormat="1" ht="15.75" hidden="1" customHeight="1" outlineLevel="1">
      <c r="A191" s="932"/>
      <c r="B191" s="1086"/>
      <c r="C191" s="1095"/>
      <c r="D191" s="1091"/>
      <c r="E191" s="1091"/>
      <c r="F191" s="1093"/>
      <c r="G191" s="98"/>
      <c r="H191" s="93"/>
      <c r="I191" s="1091"/>
      <c r="J191" s="1084"/>
      <c r="K191" s="1084"/>
      <c r="L191" s="932"/>
      <c r="P191"/>
      <c r="Q191"/>
      <c r="R191"/>
      <c r="S191"/>
      <c r="T191"/>
      <c r="U191"/>
      <c r="V191"/>
      <c r="W191"/>
      <c r="X191"/>
    </row>
    <row r="192" spans="1:24" s="106" customFormat="1" ht="15.75" hidden="1" customHeight="1" outlineLevel="1">
      <c r="A192" s="932"/>
      <c r="B192" s="1087"/>
      <c r="C192" s="1096"/>
      <c r="D192" s="1092"/>
      <c r="E192" s="1092"/>
      <c r="F192" s="1094"/>
      <c r="G192" s="103"/>
      <c r="H192" s="101"/>
      <c r="I192" s="1092"/>
      <c r="J192" s="1085"/>
      <c r="K192" s="1085"/>
      <c r="L192" s="932"/>
      <c r="P192"/>
      <c r="Q192"/>
      <c r="R192"/>
      <c r="S192"/>
      <c r="T192"/>
      <c r="U192"/>
      <c r="V192"/>
      <c r="W192"/>
      <c r="X192"/>
    </row>
    <row r="193" spans="1:24" s="106" customFormat="1" ht="15.75" hidden="1" customHeight="1" outlineLevel="1">
      <c r="A193" s="932"/>
      <c r="B193" s="1086">
        <v>61</v>
      </c>
      <c r="C193" s="1095"/>
      <c r="D193" s="1091"/>
      <c r="E193" s="1091" t="s">
        <v>20</v>
      </c>
      <c r="F193" s="1093" t="str">
        <f>VLOOKUP(E193,$N$13:$O$17,2,0)</f>
        <v>-</v>
      </c>
      <c r="G193" s="95"/>
      <c r="H193" s="93"/>
      <c r="I193" s="1091"/>
      <c r="J193" s="1083"/>
      <c r="K193" s="1083"/>
      <c r="L193" s="932"/>
      <c r="P193"/>
      <c r="Q193"/>
      <c r="R193"/>
      <c r="S193"/>
      <c r="T193"/>
      <c r="U193"/>
      <c r="V193"/>
      <c r="W193"/>
      <c r="X193"/>
    </row>
    <row r="194" spans="1:24" s="106" customFormat="1" ht="15.75" hidden="1" customHeight="1" outlineLevel="1">
      <c r="A194" s="932"/>
      <c r="B194" s="1086"/>
      <c r="C194" s="1095"/>
      <c r="D194" s="1091"/>
      <c r="E194" s="1091"/>
      <c r="F194" s="1093"/>
      <c r="G194" s="98"/>
      <c r="H194" s="93"/>
      <c r="I194" s="1091"/>
      <c r="J194" s="1084"/>
      <c r="K194" s="1084"/>
      <c r="L194" s="932"/>
      <c r="P194"/>
      <c r="Q194"/>
      <c r="R194"/>
      <c r="S194"/>
      <c r="T194"/>
      <c r="U194"/>
      <c r="V194"/>
      <c r="W194"/>
      <c r="X194"/>
    </row>
    <row r="195" spans="1:24" s="106" customFormat="1" ht="15.75" hidden="1" customHeight="1" outlineLevel="1">
      <c r="A195" s="932"/>
      <c r="B195" s="1087"/>
      <c r="C195" s="1096"/>
      <c r="D195" s="1092"/>
      <c r="E195" s="1092"/>
      <c r="F195" s="1094"/>
      <c r="G195" s="103"/>
      <c r="H195" s="101"/>
      <c r="I195" s="1092"/>
      <c r="J195" s="1085"/>
      <c r="K195" s="1085"/>
      <c r="L195" s="932"/>
      <c r="P195"/>
      <c r="Q195"/>
      <c r="R195"/>
      <c r="S195"/>
      <c r="T195"/>
      <c r="U195"/>
      <c r="V195"/>
      <c r="W195"/>
      <c r="X195"/>
    </row>
    <row r="196" spans="1:24" s="106" customFormat="1" ht="15.75" hidden="1" customHeight="1" outlineLevel="1">
      <c r="A196" s="932"/>
      <c r="B196" s="1086">
        <v>62</v>
      </c>
      <c r="C196" s="1095"/>
      <c r="D196" s="1091"/>
      <c r="E196" s="1091" t="s">
        <v>20</v>
      </c>
      <c r="F196" s="1093" t="str">
        <f>VLOOKUP(E196,$N$13:$O$17,2,0)</f>
        <v>-</v>
      </c>
      <c r="G196" s="95"/>
      <c r="H196" s="93"/>
      <c r="I196" s="1091"/>
      <c r="J196" s="1083"/>
      <c r="K196" s="1083"/>
      <c r="L196" s="932"/>
      <c r="P196"/>
      <c r="Q196"/>
      <c r="R196"/>
      <c r="S196"/>
      <c r="T196"/>
      <c r="U196"/>
      <c r="V196"/>
      <c r="W196"/>
      <c r="X196"/>
    </row>
    <row r="197" spans="1:24" s="106" customFormat="1" ht="15.75" hidden="1" customHeight="1" outlineLevel="1">
      <c r="A197" s="932"/>
      <c r="B197" s="1086"/>
      <c r="C197" s="1095"/>
      <c r="D197" s="1091"/>
      <c r="E197" s="1091"/>
      <c r="F197" s="1093"/>
      <c r="G197" s="98"/>
      <c r="H197" s="93"/>
      <c r="I197" s="1091"/>
      <c r="J197" s="1084"/>
      <c r="K197" s="1084"/>
      <c r="L197" s="932"/>
      <c r="P197"/>
      <c r="Q197"/>
      <c r="R197"/>
      <c r="S197"/>
      <c r="T197"/>
      <c r="U197"/>
      <c r="V197"/>
      <c r="W197"/>
      <c r="X197"/>
    </row>
    <row r="198" spans="1:24" s="106" customFormat="1" ht="15.75" hidden="1" customHeight="1" outlineLevel="1">
      <c r="A198" s="932"/>
      <c r="B198" s="1087"/>
      <c r="C198" s="1096"/>
      <c r="D198" s="1092"/>
      <c r="E198" s="1092"/>
      <c r="F198" s="1094"/>
      <c r="G198" s="103"/>
      <c r="H198" s="101"/>
      <c r="I198" s="1092"/>
      <c r="J198" s="1085"/>
      <c r="K198" s="1085"/>
      <c r="L198" s="932"/>
      <c r="P198"/>
      <c r="Q198"/>
      <c r="R198"/>
      <c r="S198"/>
      <c r="T198"/>
      <c r="U198"/>
      <c r="V198"/>
      <c r="W198"/>
      <c r="X198"/>
    </row>
    <row r="199" spans="1:24" s="106" customFormat="1" ht="15.75" hidden="1" customHeight="1" outlineLevel="1">
      <c r="A199" s="932"/>
      <c r="B199" s="1086">
        <v>63</v>
      </c>
      <c r="C199" s="1095"/>
      <c r="D199" s="1091"/>
      <c r="E199" s="1091" t="s">
        <v>20</v>
      </c>
      <c r="F199" s="1093" t="str">
        <f>VLOOKUP(E199,$N$13:$O$17,2,0)</f>
        <v>-</v>
      </c>
      <c r="G199" s="95"/>
      <c r="H199" s="93"/>
      <c r="I199" s="1091"/>
      <c r="J199" s="1083"/>
      <c r="K199" s="1083"/>
      <c r="L199" s="932"/>
      <c r="P199"/>
      <c r="Q199"/>
      <c r="R199"/>
      <c r="S199"/>
      <c r="T199"/>
      <c r="U199"/>
      <c r="V199"/>
      <c r="W199"/>
      <c r="X199"/>
    </row>
    <row r="200" spans="1:24" s="106" customFormat="1" ht="15.75" hidden="1" customHeight="1" outlineLevel="1">
      <c r="A200" s="932"/>
      <c r="B200" s="1086"/>
      <c r="C200" s="1095"/>
      <c r="D200" s="1091"/>
      <c r="E200" s="1091"/>
      <c r="F200" s="1093"/>
      <c r="G200" s="98"/>
      <c r="H200" s="93"/>
      <c r="I200" s="1091"/>
      <c r="J200" s="1084"/>
      <c r="K200" s="1084"/>
      <c r="L200" s="932"/>
      <c r="P200"/>
      <c r="Q200"/>
      <c r="R200"/>
      <c r="S200"/>
      <c r="T200"/>
      <c r="U200"/>
      <c r="V200"/>
      <c r="W200"/>
      <c r="X200"/>
    </row>
    <row r="201" spans="1:24" s="106" customFormat="1" ht="15.75" hidden="1" customHeight="1" outlineLevel="1">
      <c r="A201" s="932"/>
      <c r="B201" s="1087"/>
      <c r="C201" s="1096"/>
      <c r="D201" s="1092"/>
      <c r="E201" s="1092"/>
      <c r="F201" s="1094"/>
      <c r="G201" s="103"/>
      <c r="H201" s="101"/>
      <c r="I201" s="1092"/>
      <c r="J201" s="1085"/>
      <c r="K201" s="1085"/>
      <c r="L201" s="932"/>
      <c r="P201"/>
      <c r="Q201"/>
      <c r="R201"/>
      <c r="S201"/>
      <c r="T201"/>
      <c r="U201"/>
      <c r="V201"/>
      <c r="W201"/>
      <c r="X201"/>
    </row>
    <row r="202" spans="1:24" s="106" customFormat="1" ht="15.75" hidden="1" customHeight="1" outlineLevel="1">
      <c r="A202" s="932"/>
      <c r="B202" s="1086">
        <v>64</v>
      </c>
      <c r="C202" s="1095"/>
      <c r="D202" s="1091"/>
      <c r="E202" s="1091" t="s">
        <v>20</v>
      </c>
      <c r="F202" s="1093" t="str">
        <f>VLOOKUP(E202,$N$13:$O$17,2,0)</f>
        <v>-</v>
      </c>
      <c r="G202" s="95"/>
      <c r="H202" s="93"/>
      <c r="I202" s="1091"/>
      <c r="J202" s="1083"/>
      <c r="K202" s="1083"/>
      <c r="L202" s="932"/>
      <c r="P202"/>
      <c r="Q202"/>
      <c r="R202"/>
      <c r="S202"/>
      <c r="T202"/>
      <c r="U202"/>
      <c r="V202"/>
      <c r="W202"/>
      <c r="X202"/>
    </row>
    <row r="203" spans="1:24" s="106" customFormat="1" ht="15.75" hidden="1" customHeight="1" outlineLevel="1">
      <c r="A203" s="932"/>
      <c r="B203" s="1086"/>
      <c r="C203" s="1095"/>
      <c r="D203" s="1091"/>
      <c r="E203" s="1091"/>
      <c r="F203" s="1093"/>
      <c r="G203" s="98"/>
      <c r="H203" s="93"/>
      <c r="I203" s="1091"/>
      <c r="J203" s="1084"/>
      <c r="K203" s="1084"/>
      <c r="L203" s="932"/>
      <c r="P203"/>
      <c r="Q203"/>
      <c r="R203"/>
      <c r="S203"/>
      <c r="T203"/>
      <c r="U203"/>
      <c r="V203"/>
      <c r="W203"/>
      <c r="X203"/>
    </row>
    <row r="204" spans="1:24" s="106" customFormat="1" ht="15.75" hidden="1" customHeight="1" outlineLevel="1">
      <c r="A204" s="932"/>
      <c r="B204" s="1087"/>
      <c r="C204" s="1096"/>
      <c r="D204" s="1092"/>
      <c r="E204" s="1092"/>
      <c r="F204" s="1094"/>
      <c r="G204" s="103"/>
      <c r="H204" s="101"/>
      <c r="I204" s="1092"/>
      <c r="J204" s="1085"/>
      <c r="K204" s="1085"/>
      <c r="L204" s="932"/>
      <c r="P204"/>
      <c r="Q204"/>
      <c r="R204"/>
      <c r="S204"/>
      <c r="T204"/>
      <c r="U204"/>
      <c r="V204"/>
      <c r="W204"/>
      <c r="X204"/>
    </row>
    <row r="205" spans="1:24" s="106" customFormat="1" ht="15.75" hidden="1" customHeight="1" outlineLevel="1">
      <c r="A205" s="932"/>
      <c r="B205" s="1086">
        <v>65</v>
      </c>
      <c r="C205" s="1095"/>
      <c r="D205" s="1091"/>
      <c r="E205" s="1091" t="s">
        <v>20</v>
      </c>
      <c r="F205" s="1093" t="str">
        <f>VLOOKUP(E205,$N$13:$O$17,2,0)</f>
        <v>-</v>
      </c>
      <c r="G205" s="95"/>
      <c r="H205" s="93"/>
      <c r="I205" s="1091"/>
      <c r="J205" s="1083"/>
      <c r="K205" s="1083"/>
      <c r="L205" s="932"/>
      <c r="P205"/>
      <c r="Q205"/>
      <c r="R205"/>
      <c r="S205"/>
      <c r="T205"/>
      <c r="U205"/>
      <c r="V205"/>
      <c r="W205"/>
      <c r="X205"/>
    </row>
    <row r="206" spans="1:24" s="106" customFormat="1" ht="15.75" hidden="1" customHeight="1" outlineLevel="1">
      <c r="A206" s="932"/>
      <c r="B206" s="1086"/>
      <c r="C206" s="1095"/>
      <c r="D206" s="1091"/>
      <c r="E206" s="1091"/>
      <c r="F206" s="1093"/>
      <c r="G206" s="98"/>
      <c r="H206" s="93"/>
      <c r="I206" s="1091"/>
      <c r="J206" s="1084"/>
      <c r="K206" s="1084"/>
      <c r="L206" s="932"/>
      <c r="P206"/>
      <c r="Q206"/>
      <c r="R206"/>
      <c r="S206"/>
      <c r="T206"/>
      <c r="U206"/>
      <c r="V206"/>
      <c r="W206"/>
      <c r="X206"/>
    </row>
    <row r="207" spans="1:24" s="106" customFormat="1" ht="15.75" hidden="1" customHeight="1" outlineLevel="1">
      <c r="A207" s="932"/>
      <c r="B207" s="1087"/>
      <c r="C207" s="1096"/>
      <c r="D207" s="1092"/>
      <c r="E207" s="1092"/>
      <c r="F207" s="1094"/>
      <c r="G207" s="103"/>
      <c r="H207" s="101"/>
      <c r="I207" s="1092"/>
      <c r="J207" s="1085"/>
      <c r="K207" s="1085"/>
      <c r="L207" s="932"/>
      <c r="P207"/>
      <c r="Q207"/>
      <c r="R207"/>
      <c r="S207"/>
      <c r="T207"/>
      <c r="U207"/>
      <c r="V207"/>
      <c r="W207"/>
      <c r="X207"/>
    </row>
    <row r="208" spans="1:24" s="106" customFormat="1" ht="15.75" hidden="1" customHeight="1" outlineLevel="1">
      <c r="A208" s="932"/>
      <c r="B208" s="1086">
        <v>66</v>
      </c>
      <c r="C208" s="1095"/>
      <c r="D208" s="1091"/>
      <c r="E208" s="1091" t="s">
        <v>20</v>
      </c>
      <c r="F208" s="1093" t="str">
        <f>VLOOKUP(E208,$N$13:$O$17,2,0)</f>
        <v>-</v>
      </c>
      <c r="G208" s="95"/>
      <c r="H208" s="93"/>
      <c r="I208" s="1091"/>
      <c r="J208" s="1083"/>
      <c r="K208" s="1083"/>
      <c r="L208" s="932"/>
      <c r="P208"/>
      <c r="Q208"/>
      <c r="R208"/>
      <c r="S208"/>
      <c r="T208"/>
      <c r="U208"/>
      <c r="V208"/>
      <c r="W208"/>
      <c r="X208"/>
    </row>
    <row r="209" spans="1:24" s="106" customFormat="1" ht="15.75" hidden="1" customHeight="1" outlineLevel="1">
      <c r="A209" s="932"/>
      <c r="B209" s="1086"/>
      <c r="C209" s="1095"/>
      <c r="D209" s="1091"/>
      <c r="E209" s="1091"/>
      <c r="F209" s="1093"/>
      <c r="G209" s="98"/>
      <c r="H209" s="93"/>
      <c r="I209" s="1091"/>
      <c r="J209" s="1084"/>
      <c r="K209" s="1084"/>
      <c r="L209" s="932"/>
      <c r="P209"/>
      <c r="Q209"/>
      <c r="R209"/>
      <c r="S209"/>
      <c r="T209"/>
      <c r="U209"/>
      <c r="V209"/>
      <c r="W209"/>
      <c r="X209"/>
    </row>
    <row r="210" spans="1:24" s="106" customFormat="1" ht="15.75" hidden="1" customHeight="1" outlineLevel="1">
      <c r="A210" s="932"/>
      <c r="B210" s="1087"/>
      <c r="C210" s="1096"/>
      <c r="D210" s="1092"/>
      <c r="E210" s="1092"/>
      <c r="F210" s="1094"/>
      <c r="G210" s="103"/>
      <c r="H210" s="101"/>
      <c r="I210" s="1092"/>
      <c r="J210" s="1085"/>
      <c r="K210" s="1085"/>
      <c r="L210" s="932"/>
      <c r="P210"/>
      <c r="Q210"/>
      <c r="R210"/>
      <c r="S210"/>
      <c r="T210"/>
      <c r="U210"/>
      <c r="V210"/>
      <c r="W210"/>
      <c r="X210"/>
    </row>
    <row r="211" spans="1:24" s="106" customFormat="1" ht="15.75" hidden="1" customHeight="1" outlineLevel="1">
      <c r="A211" s="932"/>
      <c r="B211" s="1086">
        <v>67</v>
      </c>
      <c r="C211" s="1095"/>
      <c r="D211" s="1091"/>
      <c r="E211" s="1091" t="s">
        <v>20</v>
      </c>
      <c r="F211" s="1093" t="str">
        <f>VLOOKUP(E211,$N$13:$O$17,2,0)</f>
        <v>-</v>
      </c>
      <c r="G211" s="95"/>
      <c r="H211" s="93"/>
      <c r="I211" s="1091"/>
      <c r="J211" s="1083"/>
      <c r="K211" s="1083"/>
      <c r="L211" s="932"/>
      <c r="P211"/>
      <c r="Q211"/>
      <c r="R211"/>
      <c r="S211"/>
      <c r="T211"/>
      <c r="U211"/>
      <c r="V211"/>
      <c r="W211"/>
      <c r="X211"/>
    </row>
    <row r="212" spans="1:24" s="106" customFormat="1" ht="15.75" hidden="1" customHeight="1" outlineLevel="1">
      <c r="A212" s="932"/>
      <c r="B212" s="1086"/>
      <c r="C212" s="1095"/>
      <c r="D212" s="1091"/>
      <c r="E212" s="1091"/>
      <c r="F212" s="1093"/>
      <c r="G212" s="98"/>
      <c r="H212" s="93"/>
      <c r="I212" s="1091"/>
      <c r="J212" s="1084"/>
      <c r="K212" s="1084"/>
      <c r="L212" s="932"/>
      <c r="P212"/>
      <c r="Q212"/>
      <c r="R212"/>
      <c r="S212"/>
      <c r="T212"/>
      <c r="U212"/>
      <c r="V212"/>
      <c r="W212"/>
      <c r="X212"/>
    </row>
    <row r="213" spans="1:24" s="106" customFormat="1" ht="15.75" hidden="1" customHeight="1" outlineLevel="1">
      <c r="A213" s="932"/>
      <c r="B213" s="1087"/>
      <c r="C213" s="1096"/>
      <c r="D213" s="1092"/>
      <c r="E213" s="1092"/>
      <c r="F213" s="1094"/>
      <c r="G213" s="103"/>
      <c r="H213" s="101"/>
      <c r="I213" s="1092"/>
      <c r="J213" s="1085"/>
      <c r="K213" s="1085"/>
      <c r="L213" s="932"/>
      <c r="P213"/>
      <c r="Q213"/>
      <c r="R213"/>
      <c r="S213"/>
      <c r="T213"/>
      <c r="U213"/>
      <c r="V213"/>
      <c r="W213"/>
      <c r="X213"/>
    </row>
    <row r="214" spans="1:24" s="106" customFormat="1" ht="15.75" hidden="1" customHeight="1" outlineLevel="1">
      <c r="A214" s="932"/>
      <c r="B214" s="1086">
        <v>68</v>
      </c>
      <c r="C214" s="1095"/>
      <c r="D214" s="1091"/>
      <c r="E214" s="1091" t="s">
        <v>20</v>
      </c>
      <c r="F214" s="1093" t="str">
        <f>VLOOKUP(E214,$N$13:$O$17,2,0)</f>
        <v>-</v>
      </c>
      <c r="G214" s="95"/>
      <c r="H214" s="93"/>
      <c r="I214" s="1091"/>
      <c r="J214" s="1083"/>
      <c r="K214" s="1083"/>
      <c r="L214" s="932"/>
      <c r="P214"/>
      <c r="Q214"/>
      <c r="R214"/>
      <c r="S214"/>
      <c r="T214"/>
      <c r="U214"/>
      <c r="V214"/>
      <c r="W214"/>
      <c r="X214"/>
    </row>
    <row r="215" spans="1:24" s="106" customFormat="1" ht="15.75" hidden="1" customHeight="1" outlineLevel="1">
      <c r="A215" s="932"/>
      <c r="B215" s="1086"/>
      <c r="C215" s="1095"/>
      <c r="D215" s="1091"/>
      <c r="E215" s="1091"/>
      <c r="F215" s="1093"/>
      <c r="G215" s="98"/>
      <c r="H215" s="93"/>
      <c r="I215" s="1091"/>
      <c r="J215" s="1084"/>
      <c r="K215" s="1084"/>
      <c r="L215" s="932"/>
      <c r="P215"/>
      <c r="Q215"/>
      <c r="R215"/>
      <c r="S215"/>
      <c r="T215"/>
      <c r="U215"/>
      <c r="V215"/>
      <c r="W215"/>
      <c r="X215"/>
    </row>
    <row r="216" spans="1:24" s="106" customFormat="1" ht="15.75" hidden="1" customHeight="1" outlineLevel="1">
      <c r="A216" s="932"/>
      <c r="B216" s="1087"/>
      <c r="C216" s="1096"/>
      <c r="D216" s="1092"/>
      <c r="E216" s="1092"/>
      <c r="F216" s="1094"/>
      <c r="G216" s="103"/>
      <c r="H216" s="101"/>
      <c r="I216" s="1092"/>
      <c r="J216" s="1085"/>
      <c r="K216" s="1085"/>
      <c r="L216" s="932"/>
      <c r="P216"/>
      <c r="Q216"/>
      <c r="R216"/>
      <c r="S216"/>
      <c r="T216"/>
      <c r="U216"/>
      <c r="V216"/>
      <c r="W216"/>
      <c r="X216"/>
    </row>
    <row r="217" spans="1:24" s="106" customFormat="1" ht="15.75" hidden="1" customHeight="1" outlineLevel="1">
      <c r="A217" s="932"/>
      <c r="B217" s="1086">
        <v>69</v>
      </c>
      <c r="C217" s="1095"/>
      <c r="D217" s="1091"/>
      <c r="E217" s="1091" t="s">
        <v>20</v>
      </c>
      <c r="F217" s="1093" t="str">
        <f>VLOOKUP(E217,$N$13:$O$17,2,0)</f>
        <v>-</v>
      </c>
      <c r="G217" s="95"/>
      <c r="H217" s="93"/>
      <c r="I217" s="1091"/>
      <c r="J217" s="1083"/>
      <c r="K217" s="1083"/>
      <c r="L217" s="932"/>
      <c r="P217"/>
      <c r="Q217"/>
      <c r="R217"/>
      <c r="S217"/>
      <c r="T217"/>
      <c r="U217"/>
      <c r="V217"/>
      <c r="W217"/>
      <c r="X217"/>
    </row>
    <row r="218" spans="1:24" s="106" customFormat="1" ht="15.75" hidden="1" customHeight="1" outlineLevel="1">
      <c r="A218" s="932"/>
      <c r="B218" s="1086"/>
      <c r="C218" s="1095"/>
      <c r="D218" s="1091"/>
      <c r="E218" s="1091"/>
      <c r="F218" s="1093"/>
      <c r="G218" s="98"/>
      <c r="H218" s="93"/>
      <c r="I218" s="1091"/>
      <c r="J218" s="1084"/>
      <c r="K218" s="1084"/>
      <c r="L218" s="932"/>
      <c r="P218"/>
      <c r="Q218"/>
      <c r="R218"/>
      <c r="S218"/>
      <c r="T218"/>
      <c r="U218"/>
      <c r="V218"/>
      <c r="W218"/>
      <c r="X218"/>
    </row>
    <row r="219" spans="1:24" s="106" customFormat="1" ht="15.75" hidden="1" customHeight="1" outlineLevel="1">
      <c r="A219" s="932"/>
      <c r="B219" s="1087"/>
      <c r="C219" s="1096"/>
      <c r="D219" s="1092"/>
      <c r="E219" s="1092"/>
      <c r="F219" s="1094"/>
      <c r="G219" s="103"/>
      <c r="H219" s="101"/>
      <c r="I219" s="1092"/>
      <c r="J219" s="1085"/>
      <c r="K219" s="1085"/>
      <c r="L219" s="932"/>
      <c r="P219"/>
      <c r="Q219"/>
      <c r="R219"/>
      <c r="S219"/>
      <c r="T219"/>
      <c r="U219"/>
      <c r="V219"/>
      <c r="W219"/>
      <c r="X219"/>
    </row>
    <row r="220" spans="1:24" s="106" customFormat="1" ht="15.75" hidden="1" customHeight="1" outlineLevel="1">
      <c r="A220" s="932"/>
      <c r="B220" s="1086">
        <v>70</v>
      </c>
      <c r="C220" s="1095"/>
      <c r="D220" s="1091"/>
      <c r="E220" s="1091" t="s">
        <v>20</v>
      </c>
      <c r="F220" s="1093" t="str">
        <f>VLOOKUP(E220,$N$13:$O$17,2,0)</f>
        <v>-</v>
      </c>
      <c r="G220" s="95"/>
      <c r="H220" s="93"/>
      <c r="I220" s="1091"/>
      <c r="J220" s="1083"/>
      <c r="K220" s="1083"/>
      <c r="L220" s="932"/>
      <c r="P220"/>
      <c r="Q220"/>
      <c r="R220"/>
      <c r="S220"/>
      <c r="T220"/>
      <c r="U220"/>
      <c r="V220"/>
      <c r="W220"/>
      <c r="X220"/>
    </row>
    <row r="221" spans="1:24" s="106" customFormat="1" ht="15.75" hidden="1" customHeight="1" outlineLevel="1">
      <c r="A221" s="932"/>
      <c r="B221" s="1086"/>
      <c r="C221" s="1095"/>
      <c r="D221" s="1091"/>
      <c r="E221" s="1091"/>
      <c r="F221" s="1093"/>
      <c r="G221" s="98"/>
      <c r="H221" s="93"/>
      <c r="I221" s="1091"/>
      <c r="J221" s="1084"/>
      <c r="K221" s="1084"/>
      <c r="L221" s="932"/>
      <c r="P221"/>
      <c r="Q221"/>
      <c r="R221"/>
      <c r="S221"/>
      <c r="T221"/>
      <c r="U221"/>
      <c r="V221"/>
      <c r="W221"/>
      <c r="X221"/>
    </row>
    <row r="222" spans="1:24" s="106" customFormat="1" ht="15.75" hidden="1" customHeight="1" outlineLevel="1">
      <c r="A222" s="932"/>
      <c r="B222" s="1087"/>
      <c r="C222" s="1096"/>
      <c r="D222" s="1092"/>
      <c r="E222" s="1092"/>
      <c r="F222" s="1094"/>
      <c r="G222" s="103"/>
      <c r="H222" s="101"/>
      <c r="I222" s="1092"/>
      <c r="J222" s="1085"/>
      <c r="K222" s="1085"/>
      <c r="L222" s="932"/>
      <c r="P222"/>
      <c r="Q222"/>
      <c r="R222"/>
      <c r="S222"/>
      <c r="T222"/>
      <c r="U222"/>
      <c r="V222"/>
      <c r="W222"/>
      <c r="X222"/>
    </row>
    <row r="223" spans="1:24" s="106" customFormat="1" ht="15.75" hidden="1" customHeight="1" outlineLevel="1">
      <c r="A223" s="932"/>
      <c r="B223" s="1086">
        <v>71</v>
      </c>
      <c r="C223" s="1095"/>
      <c r="D223" s="1091"/>
      <c r="E223" s="1091" t="s">
        <v>20</v>
      </c>
      <c r="F223" s="1093" t="str">
        <f>VLOOKUP(E223,$N$13:$O$17,2,0)</f>
        <v>-</v>
      </c>
      <c r="G223" s="95"/>
      <c r="H223" s="93"/>
      <c r="I223" s="1091"/>
      <c r="J223" s="1083"/>
      <c r="K223" s="1083"/>
      <c r="L223" s="932"/>
      <c r="P223"/>
      <c r="Q223"/>
      <c r="R223"/>
      <c r="S223"/>
      <c r="T223"/>
      <c r="U223"/>
      <c r="V223"/>
      <c r="W223"/>
      <c r="X223"/>
    </row>
    <row r="224" spans="1:24" s="106" customFormat="1" ht="15.75" hidden="1" customHeight="1" outlineLevel="1">
      <c r="A224" s="932"/>
      <c r="B224" s="1086"/>
      <c r="C224" s="1095"/>
      <c r="D224" s="1091"/>
      <c r="E224" s="1091"/>
      <c r="F224" s="1093"/>
      <c r="G224" s="98"/>
      <c r="H224" s="93"/>
      <c r="I224" s="1091"/>
      <c r="J224" s="1084"/>
      <c r="K224" s="1084"/>
      <c r="L224" s="932"/>
      <c r="P224"/>
      <c r="Q224"/>
      <c r="R224"/>
      <c r="S224"/>
      <c r="T224"/>
      <c r="U224"/>
      <c r="V224"/>
      <c r="W224"/>
      <c r="X224"/>
    </row>
    <row r="225" spans="1:24" s="106" customFormat="1" ht="15.75" hidden="1" customHeight="1" outlineLevel="1">
      <c r="A225" s="932"/>
      <c r="B225" s="1087"/>
      <c r="C225" s="1096"/>
      <c r="D225" s="1092"/>
      <c r="E225" s="1092"/>
      <c r="F225" s="1094"/>
      <c r="G225" s="103"/>
      <c r="H225" s="101"/>
      <c r="I225" s="1092"/>
      <c r="J225" s="1085"/>
      <c r="K225" s="1085"/>
      <c r="L225" s="932"/>
      <c r="P225"/>
      <c r="Q225"/>
      <c r="R225"/>
      <c r="S225"/>
      <c r="T225"/>
      <c r="U225"/>
      <c r="V225"/>
      <c r="W225"/>
      <c r="X225"/>
    </row>
    <row r="226" spans="1:24" s="106" customFormat="1" ht="15.75" hidden="1" customHeight="1" outlineLevel="1">
      <c r="A226" s="932"/>
      <c r="B226" s="1086">
        <v>72</v>
      </c>
      <c r="C226" s="1095"/>
      <c r="D226" s="1091"/>
      <c r="E226" s="1091" t="s">
        <v>20</v>
      </c>
      <c r="F226" s="1093" t="str">
        <f>VLOOKUP(E226,$N$13:$O$17,2,0)</f>
        <v>-</v>
      </c>
      <c r="G226" s="95"/>
      <c r="H226" s="93"/>
      <c r="I226" s="1091"/>
      <c r="J226" s="1083"/>
      <c r="K226" s="1083"/>
      <c r="L226" s="932"/>
      <c r="P226"/>
      <c r="Q226"/>
      <c r="R226"/>
      <c r="S226"/>
      <c r="T226"/>
      <c r="U226"/>
      <c r="V226"/>
      <c r="W226"/>
      <c r="X226"/>
    </row>
    <row r="227" spans="1:24" s="106" customFormat="1" ht="15.75" hidden="1" customHeight="1" outlineLevel="1">
      <c r="A227" s="932"/>
      <c r="B227" s="1086"/>
      <c r="C227" s="1095"/>
      <c r="D227" s="1091"/>
      <c r="E227" s="1091"/>
      <c r="F227" s="1093"/>
      <c r="G227" s="98"/>
      <c r="H227" s="93"/>
      <c r="I227" s="1091"/>
      <c r="J227" s="1084"/>
      <c r="K227" s="1084"/>
      <c r="L227" s="932"/>
      <c r="P227"/>
      <c r="Q227"/>
      <c r="R227"/>
      <c r="S227"/>
      <c r="T227"/>
      <c r="U227"/>
      <c r="V227"/>
      <c r="W227"/>
      <c r="X227"/>
    </row>
    <row r="228" spans="1:24" s="106" customFormat="1" ht="15.75" hidden="1" customHeight="1" outlineLevel="1">
      <c r="A228" s="932"/>
      <c r="B228" s="1087"/>
      <c r="C228" s="1096"/>
      <c r="D228" s="1092"/>
      <c r="E228" s="1092"/>
      <c r="F228" s="1094"/>
      <c r="G228" s="103"/>
      <c r="H228" s="101"/>
      <c r="I228" s="1092"/>
      <c r="J228" s="1085"/>
      <c r="K228" s="1085"/>
      <c r="L228" s="932"/>
      <c r="P228"/>
      <c r="Q228"/>
      <c r="R228"/>
      <c r="S228"/>
      <c r="T228"/>
      <c r="U228"/>
      <c r="V228"/>
      <c r="W228"/>
      <c r="X228"/>
    </row>
    <row r="229" spans="1:24" s="106" customFormat="1" ht="15.75" hidden="1" customHeight="1" outlineLevel="1">
      <c r="A229" s="932"/>
      <c r="B229" s="1086">
        <v>73</v>
      </c>
      <c r="C229" s="1095"/>
      <c r="D229" s="1091"/>
      <c r="E229" s="1091" t="s">
        <v>20</v>
      </c>
      <c r="F229" s="1093" t="str">
        <f>VLOOKUP(E229,$N$13:$O$17,2,0)</f>
        <v>-</v>
      </c>
      <c r="G229" s="95"/>
      <c r="H229" s="93"/>
      <c r="I229" s="1091"/>
      <c r="J229" s="1083"/>
      <c r="K229" s="1083"/>
      <c r="L229" s="932"/>
      <c r="P229"/>
      <c r="Q229"/>
      <c r="R229"/>
      <c r="S229"/>
      <c r="T229"/>
      <c r="U229"/>
      <c r="V229"/>
      <c r="W229"/>
      <c r="X229"/>
    </row>
    <row r="230" spans="1:24" s="106" customFormat="1" ht="15.75" hidden="1" customHeight="1" outlineLevel="1">
      <c r="A230" s="932"/>
      <c r="B230" s="1086"/>
      <c r="C230" s="1095"/>
      <c r="D230" s="1091"/>
      <c r="E230" s="1091"/>
      <c r="F230" s="1093"/>
      <c r="G230" s="98"/>
      <c r="H230" s="93"/>
      <c r="I230" s="1091"/>
      <c r="J230" s="1084"/>
      <c r="K230" s="1084"/>
      <c r="L230" s="932"/>
      <c r="P230"/>
      <c r="Q230"/>
      <c r="R230"/>
      <c r="S230"/>
      <c r="T230"/>
      <c r="U230"/>
      <c r="V230"/>
      <c r="W230"/>
      <c r="X230"/>
    </row>
    <row r="231" spans="1:24" s="106" customFormat="1" ht="15.75" hidden="1" customHeight="1" outlineLevel="1">
      <c r="A231" s="932"/>
      <c r="B231" s="1087"/>
      <c r="C231" s="1096"/>
      <c r="D231" s="1092"/>
      <c r="E231" s="1092"/>
      <c r="F231" s="1094"/>
      <c r="G231" s="103"/>
      <c r="H231" s="101"/>
      <c r="I231" s="1092"/>
      <c r="J231" s="1085"/>
      <c r="K231" s="1085"/>
      <c r="L231" s="932"/>
      <c r="P231"/>
      <c r="Q231"/>
      <c r="R231"/>
      <c r="S231"/>
      <c r="T231"/>
      <c r="U231"/>
      <c r="V231"/>
      <c r="W231"/>
      <c r="X231"/>
    </row>
    <row r="232" spans="1:24" s="106" customFormat="1" ht="15.75" hidden="1" customHeight="1" outlineLevel="1">
      <c r="A232" s="932"/>
      <c r="B232" s="1086">
        <v>74</v>
      </c>
      <c r="C232" s="1095"/>
      <c r="D232" s="1091"/>
      <c r="E232" s="1091" t="s">
        <v>20</v>
      </c>
      <c r="F232" s="1093" t="str">
        <f>VLOOKUP(E232,$N$13:$O$17,2,0)</f>
        <v>-</v>
      </c>
      <c r="G232" s="95"/>
      <c r="H232" s="93"/>
      <c r="I232" s="1091"/>
      <c r="J232" s="1083"/>
      <c r="K232" s="1083"/>
      <c r="L232" s="932"/>
      <c r="P232"/>
      <c r="Q232"/>
      <c r="R232"/>
      <c r="S232"/>
      <c r="T232"/>
      <c r="U232"/>
      <c r="V232"/>
      <c r="W232"/>
      <c r="X232"/>
    </row>
    <row r="233" spans="1:24" s="106" customFormat="1" ht="15.75" hidden="1" customHeight="1" outlineLevel="1">
      <c r="A233" s="932"/>
      <c r="B233" s="1086"/>
      <c r="C233" s="1095"/>
      <c r="D233" s="1091"/>
      <c r="E233" s="1091"/>
      <c r="F233" s="1093"/>
      <c r="G233" s="98"/>
      <c r="H233" s="93"/>
      <c r="I233" s="1091"/>
      <c r="J233" s="1084"/>
      <c r="K233" s="1084"/>
      <c r="L233" s="932"/>
      <c r="P233"/>
      <c r="Q233"/>
      <c r="R233"/>
      <c r="S233"/>
      <c r="T233"/>
      <c r="U233"/>
      <c r="V233"/>
      <c r="W233"/>
      <c r="X233"/>
    </row>
    <row r="234" spans="1:24" s="106" customFormat="1" ht="15.75" hidden="1" customHeight="1" outlineLevel="1">
      <c r="A234" s="932"/>
      <c r="B234" s="1087"/>
      <c r="C234" s="1096"/>
      <c r="D234" s="1092"/>
      <c r="E234" s="1092"/>
      <c r="F234" s="1094"/>
      <c r="G234" s="103"/>
      <c r="H234" s="101"/>
      <c r="I234" s="1092"/>
      <c r="J234" s="1085"/>
      <c r="K234" s="1085"/>
      <c r="L234" s="932"/>
      <c r="P234"/>
      <c r="Q234"/>
      <c r="R234"/>
      <c r="S234"/>
      <c r="T234"/>
      <c r="U234"/>
      <c r="V234"/>
      <c r="W234"/>
      <c r="X234"/>
    </row>
    <row r="235" spans="1:24" s="106" customFormat="1" ht="15.75" hidden="1" customHeight="1" outlineLevel="1">
      <c r="A235" s="932"/>
      <c r="B235" s="1086">
        <v>75</v>
      </c>
      <c r="C235" s="1095"/>
      <c r="D235" s="1091"/>
      <c r="E235" s="1091" t="s">
        <v>20</v>
      </c>
      <c r="F235" s="1093" t="str">
        <f>VLOOKUP(E235,$N$13:$O$17,2,0)</f>
        <v>-</v>
      </c>
      <c r="G235" s="95"/>
      <c r="H235" s="93"/>
      <c r="I235" s="1091"/>
      <c r="J235" s="1083"/>
      <c r="K235" s="1083"/>
      <c r="L235" s="932"/>
      <c r="P235"/>
      <c r="Q235"/>
      <c r="R235"/>
      <c r="S235"/>
      <c r="T235"/>
      <c r="U235"/>
      <c r="V235"/>
      <c r="W235"/>
      <c r="X235"/>
    </row>
    <row r="236" spans="1:24" s="106" customFormat="1" ht="15.75" hidden="1" customHeight="1" outlineLevel="1">
      <c r="A236" s="932"/>
      <c r="B236" s="1086"/>
      <c r="C236" s="1095"/>
      <c r="D236" s="1091"/>
      <c r="E236" s="1091"/>
      <c r="F236" s="1093"/>
      <c r="G236" s="98"/>
      <c r="H236" s="93"/>
      <c r="I236" s="1091"/>
      <c r="J236" s="1084"/>
      <c r="K236" s="1084"/>
      <c r="L236" s="932"/>
      <c r="P236"/>
      <c r="Q236"/>
      <c r="R236"/>
      <c r="S236"/>
      <c r="T236"/>
      <c r="U236"/>
      <c r="V236"/>
      <c r="W236"/>
      <c r="X236"/>
    </row>
    <row r="237" spans="1:24" s="106" customFormat="1" ht="15.75" hidden="1" customHeight="1" outlineLevel="1">
      <c r="A237" s="932"/>
      <c r="B237" s="1087"/>
      <c r="C237" s="1096"/>
      <c r="D237" s="1092"/>
      <c r="E237" s="1092"/>
      <c r="F237" s="1094"/>
      <c r="G237" s="103"/>
      <c r="H237" s="101"/>
      <c r="I237" s="1092"/>
      <c r="J237" s="1085"/>
      <c r="K237" s="1085"/>
      <c r="L237" s="932"/>
      <c r="P237"/>
      <c r="Q237"/>
      <c r="R237"/>
      <c r="S237"/>
      <c r="T237"/>
      <c r="U237"/>
      <c r="V237"/>
      <c r="W237"/>
      <c r="X237"/>
    </row>
    <row r="238" spans="1:24" s="106" customFormat="1" ht="15.75" hidden="1" customHeight="1" outlineLevel="1">
      <c r="A238" s="932"/>
      <c r="B238" s="1086">
        <v>76</v>
      </c>
      <c r="C238" s="1095"/>
      <c r="D238" s="1091"/>
      <c r="E238" s="1091" t="s">
        <v>20</v>
      </c>
      <c r="F238" s="1093" t="str">
        <f>VLOOKUP(E238,$N$13:$O$17,2,0)</f>
        <v>-</v>
      </c>
      <c r="G238" s="95"/>
      <c r="H238" s="93"/>
      <c r="I238" s="1091"/>
      <c r="J238" s="1083"/>
      <c r="K238" s="1083"/>
      <c r="L238" s="932"/>
      <c r="P238"/>
      <c r="Q238"/>
      <c r="R238"/>
      <c r="S238"/>
      <c r="T238"/>
      <c r="U238"/>
      <c r="V238"/>
      <c r="W238"/>
      <c r="X238"/>
    </row>
    <row r="239" spans="1:24" s="106" customFormat="1" ht="15.75" hidden="1" customHeight="1" outlineLevel="1">
      <c r="A239" s="932"/>
      <c r="B239" s="1086"/>
      <c r="C239" s="1095"/>
      <c r="D239" s="1091"/>
      <c r="E239" s="1091"/>
      <c r="F239" s="1093"/>
      <c r="G239" s="98"/>
      <c r="H239" s="93"/>
      <c r="I239" s="1091"/>
      <c r="J239" s="1084"/>
      <c r="K239" s="1084"/>
      <c r="L239" s="932"/>
      <c r="P239"/>
      <c r="Q239"/>
      <c r="R239"/>
      <c r="S239"/>
      <c r="T239"/>
      <c r="U239"/>
      <c r="V239"/>
      <c r="W239"/>
      <c r="X239"/>
    </row>
    <row r="240" spans="1:24" s="106" customFormat="1" ht="15.75" hidden="1" customHeight="1" outlineLevel="1">
      <c r="A240" s="932"/>
      <c r="B240" s="1087"/>
      <c r="C240" s="1096"/>
      <c r="D240" s="1092"/>
      <c r="E240" s="1092"/>
      <c r="F240" s="1094"/>
      <c r="G240" s="103"/>
      <c r="H240" s="101"/>
      <c r="I240" s="1092"/>
      <c r="J240" s="1085"/>
      <c r="K240" s="1085"/>
      <c r="L240" s="932"/>
      <c r="P240"/>
      <c r="Q240"/>
      <c r="R240"/>
      <c r="S240"/>
      <c r="T240"/>
      <c r="U240"/>
      <c r="V240"/>
      <c r="W240"/>
      <c r="X240"/>
    </row>
    <row r="241" spans="1:24" s="106" customFormat="1" ht="15.75" hidden="1" customHeight="1" outlineLevel="1">
      <c r="A241" s="932"/>
      <c r="B241" s="1086">
        <v>77</v>
      </c>
      <c r="C241" s="1095"/>
      <c r="D241" s="1091"/>
      <c r="E241" s="1091" t="s">
        <v>20</v>
      </c>
      <c r="F241" s="1093" t="str">
        <f>VLOOKUP(E241,$N$13:$O$17,2,0)</f>
        <v>-</v>
      </c>
      <c r="G241" s="95"/>
      <c r="H241" s="93"/>
      <c r="I241" s="1091"/>
      <c r="J241" s="1083"/>
      <c r="K241" s="1083"/>
      <c r="L241" s="932"/>
      <c r="P241"/>
      <c r="Q241"/>
      <c r="R241"/>
      <c r="S241"/>
      <c r="T241"/>
      <c r="U241"/>
      <c r="V241"/>
      <c r="W241"/>
      <c r="X241"/>
    </row>
    <row r="242" spans="1:24" s="106" customFormat="1" ht="15.75" hidden="1" customHeight="1" outlineLevel="1">
      <c r="A242" s="932"/>
      <c r="B242" s="1086"/>
      <c r="C242" s="1095"/>
      <c r="D242" s="1091"/>
      <c r="E242" s="1091"/>
      <c r="F242" s="1093"/>
      <c r="G242" s="98"/>
      <c r="H242" s="93"/>
      <c r="I242" s="1091"/>
      <c r="J242" s="1084"/>
      <c r="K242" s="1084"/>
      <c r="L242" s="932"/>
      <c r="P242"/>
      <c r="Q242"/>
      <c r="R242"/>
      <c r="S242"/>
      <c r="T242"/>
      <c r="U242"/>
      <c r="V242"/>
      <c r="W242"/>
      <c r="X242"/>
    </row>
    <row r="243" spans="1:24" s="106" customFormat="1" ht="15.75" hidden="1" customHeight="1" outlineLevel="1">
      <c r="A243" s="932"/>
      <c r="B243" s="1087"/>
      <c r="C243" s="1096"/>
      <c r="D243" s="1092"/>
      <c r="E243" s="1092"/>
      <c r="F243" s="1094"/>
      <c r="G243" s="103"/>
      <c r="H243" s="101"/>
      <c r="I243" s="1092"/>
      <c r="J243" s="1085"/>
      <c r="K243" s="1085"/>
      <c r="L243" s="932"/>
      <c r="P243"/>
      <c r="Q243"/>
      <c r="R243"/>
      <c r="S243"/>
      <c r="T243"/>
      <c r="U243"/>
      <c r="V243"/>
      <c r="W243"/>
      <c r="X243"/>
    </row>
    <row r="244" spans="1:24" s="106" customFormat="1" ht="15.75" hidden="1" customHeight="1" outlineLevel="1">
      <c r="A244" s="932"/>
      <c r="B244" s="1086">
        <v>78</v>
      </c>
      <c r="C244" s="1095"/>
      <c r="D244" s="1091"/>
      <c r="E244" s="1091" t="s">
        <v>20</v>
      </c>
      <c r="F244" s="1093" t="str">
        <f>VLOOKUP(E244,$N$13:$O$17,2,0)</f>
        <v>-</v>
      </c>
      <c r="G244" s="95"/>
      <c r="H244" s="93"/>
      <c r="I244" s="1091"/>
      <c r="J244" s="1083"/>
      <c r="K244" s="1083"/>
      <c r="L244" s="932"/>
      <c r="P244"/>
      <c r="Q244"/>
      <c r="R244"/>
      <c r="S244"/>
      <c r="T244"/>
      <c r="U244"/>
      <c r="V244"/>
      <c r="W244"/>
      <c r="X244"/>
    </row>
    <row r="245" spans="1:24" s="106" customFormat="1" ht="15.75" hidden="1" customHeight="1" outlineLevel="1">
      <c r="A245" s="932"/>
      <c r="B245" s="1086"/>
      <c r="C245" s="1095"/>
      <c r="D245" s="1091"/>
      <c r="E245" s="1091"/>
      <c r="F245" s="1093"/>
      <c r="G245" s="98"/>
      <c r="H245" s="93"/>
      <c r="I245" s="1091"/>
      <c r="J245" s="1084"/>
      <c r="K245" s="1084"/>
      <c r="L245" s="932"/>
      <c r="P245"/>
      <c r="Q245"/>
      <c r="R245"/>
      <c r="S245"/>
      <c r="T245"/>
      <c r="U245"/>
      <c r="V245"/>
      <c r="W245"/>
      <c r="X245"/>
    </row>
    <row r="246" spans="1:24" s="106" customFormat="1" ht="15.75" hidden="1" customHeight="1" outlineLevel="1">
      <c r="A246" s="932"/>
      <c r="B246" s="1087"/>
      <c r="C246" s="1096"/>
      <c r="D246" s="1092"/>
      <c r="E246" s="1092"/>
      <c r="F246" s="1094"/>
      <c r="G246" s="103"/>
      <c r="H246" s="101"/>
      <c r="I246" s="1092"/>
      <c r="J246" s="1085"/>
      <c r="K246" s="1085"/>
      <c r="L246" s="932"/>
      <c r="P246"/>
      <c r="Q246"/>
      <c r="R246"/>
      <c r="S246"/>
      <c r="T246"/>
      <c r="U246"/>
      <c r="V246"/>
      <c r="W246"/>
      <c r="X246"/>
    </row>
    <row r="247" spans="1:24" s="106" customFormat="1" ht="15.75" hidden="1" customHeight="1" outlineLevel="1">
      <c r="A247" s="932"/>
      <c r="B247" s="1086">
        <v>79</v>
      </c>
      <c r="C247" s="1095"/>
      <c r="D247" s="1091"/>
      <c r="E247" s="1091" t="s">
        <v>20</v>
      </c>
      <c r="F247" s="1093" t="str">
        <f>VLOOKUP(E247,$N$13:$O$17,2,0)</f>
        <v>-</v>
      </c>
      <c r="G247" s="95"/>
      <c r="H247" s="93"/>
      <c r="I247" s="1091"/>
      <c r="J247" s="1083"/>
      <c r="K247" s="1083"/>
      <c r="L247" s="932"/>
      <c r="P247"/>
      <c r="Q247"/>
      <c r="R247"/>
      <c r="S247"/>
      <c r="T247"/>
      <c r="U247"/>
      <c r="V247"/>
      <c r="W247"/>
      <c r="X247"/>
    </row>
    <row r="248" spans="1:24" s="106" customFormat="1" ht="15.75" hidden="1" customHeight="1" outlineLevel="1">
      <c r="A248" s="932"/>
      <c r="B248" s="1086"/>
      <c r="C248" s="1095"/>
      <c r="D248" s="1091"/>
      <c r="E248" s="1091"/>
      <c r="F248" s="1093"/>
      <c r="G248" s="98"/>
      <c r="H248" s="93"/>
      <c r="I248" s="1091"/>
      <c r="J248" s="1084"/>
      <c r="K248" s="1084"/>
      <c r="L248" s="932"/>
      <c r="P248"/>
      <c r="Q248"/>
      <c r="R248"/>
      <c r="S248"/>
      <c r="T248"/>
      <c r="U248"/>
      <c r="V248"/>
      <c r="W248"/>
      <c r="X248"/>
    </row>
    <row r="249" spans="1:24" s="106" customFormat="1" ht="15.75" hidden="1" customHeight="1" outlineLevel="1">
      <c r="A249" s="932"/>
      <c r="B249" s="1087"/>
      <c r="C249" s="1096"/>
      <c r="D249" s="1092"/>
      <c r="E249" s="1092"/>
      <c r="F249" s="1094"/>
      <c r="G249" s="103"/>
      <c r="H249" s="101"/>
      <c r="I249" s="1092"/>
      <c r="J249" s="1085"/>
      <c r="K249" s="1085"/>
      <c r="L249" s="932"/>
      <c r="P249"/>
      <c r="Q249"/>
      <c r="R249"/>
      <c r="S249"/>
      <c r="T249"/>
      <c r="U249"/>
      <c r="V249"/>
      <c r="W249"/>
      <c r="X249"/>
    </row>
    <row r="250" spans="1:24" s="106" customFormat="1" ht="15.75" hidden="1" customHeight="1" outlineLevel="1">
      <c r="A250" s="932"/>
      <c r="B250" s="1086">
        <v>80</v>
      </c>
      <c r="C250" s="1095"/>
      <c r="D250" s="1091"/>
      <c r="E250" s="1091" t="s">
        <v>20</v>
      </c>
      <c r="F250" s="1093" t="str">
        <f>VLOOKUP(E250,$N$13:$O$17,2,0)</f>
        <v>-</v>
      </c>
      <c r="G250" s="95"/>
      <c r="H250" s="93"/>
      <c r="I250" s="1091"/>
      <c r="J250" s="1083"/>
      <c r="K250" s="1083"/>
      <c r="L250" s="932"/>
      <c r="P250"/>
      <c r="Q250"/>
      <c r="R250"/>
      <c r="S250"/>
      <c r="T250"/>
      <c r="U250"/>
      <c r="V250"/>
      <c r="W250"/>
      <c r="X250"/>
    </row>
    <row r="251" spans="1:24" s="106" customFormat="1" ht="15.75" hidden="1" customHeight="1" outlineLevel="1">
      <c r="A251" s="932"/>
      <c r="B251" s="1086"/>
      <c r="C251" s="1095"/>
      <c r="D251" s="1091"/>
      <c r="E251" s="1091"/>
      <c r="F251" s="1093"/>
      <c r="G251" s="98"/>
      <c r="H251" s="93"/>
      <c r="I251" s="1091"/>
      <c r="J251" s="1084"/>
      <c r="K251" s="1084"/>
      <c r="L251" s="932"/>
      <c r="P251"/>
      <c r="Q251"/>
      <c r="R251"/>
      <c r="S251"/>
      <c r="T251"/>
      <c r="U251"/>
      <c r="V251"/>
      <c r="W251"/>
      <c r="X251"/>
    </row>
    <row r="252" spans="1:24" s="106" customFormat="1" ht="15.75" hidden="1" customHeight="1" outlineLevel="1">
      <c r="A252" s="932"/>
      <c r="B252" s="1087"/>
      <c r="C252" s="1096"/>
      <c r="D252" s="1092"/>
      <c r="E252" s="1092"/>
      <c r="F252" s="1094"/>
      <c r="G252" s="103"/>
      <c r="H252" s="101"/>
      <c r="I252" s="1092"/>
      <c r="J252" s="1085"/>
      <c r="K252" s="1085"/>
      <c r="L252" s="932"/>
      <c r="P252"/>
      <c r="Q252"/>
      <c r="R252"/>
      <c r="S252"/>
      <c r="T252"/>
      <c r="U252"/>
      <c r="V252"/>
      <c r="W252"/>
      <c r="X252"/>
    </row>
    <row r="253" spans="1:24" s="106" customFormat="1" ht="15.75" hidden="1" customHeight="1" outlineLevel="1">
      <c r="A253" s="932"/>
      <c r="B253" s="1086">
        <v>81</v>
      </c>
      <c r="C253" s="1095"/>
      <c r="D253" s="1091"/>
      <c r="E253" s="1091" t="s">
        <v>20</v>
      </c>
      <c r="F253" s="1093" t="str">
        <f>VLOOKUP(E253,$N$13:$O$17,2,0)</f>
        <v>-</v>
      </c>
      <c r="G253" s="95"/>
      <c r="H253" s="93"/>
      <c r="I253" s="1091"/>
      <c r="J253" s="1083"/>
      <c r="K253" s="1083"/>
      <c r="L253" s="932"/>
      <c r="P253"/>
      <c r="Q253"/>
      <c r="R253"/>
      <c r="S253"/>
      <c r="T253"/>
      <c r="U253"/>
      <c r="V253"/>
      <c r="W253"/>
      <c r="X253"/>
    </row>
    <row r="254" spans="1:24" s="106" customFormat="1" ht="15.75" hidden="1" customHeight="1" outlineLevel="1">
      <c r="A254" s="932"/>
      <c r="B254" s="1086"/>
      <c r="C254" s="1095"/>
      <c r="D254" s="1091"/>
      <c r="E254" s="1091"/>
      <c r="F254" s="1093"/>
      <c r="G254" s="98"/>
      <c r="H254" s="93"/>
      <c r="I254" s="1091"/>
      <c r="J254" s="1084"/>
      <c r="K254" s="1084"/>
      <c r="L254" s="932"/>
      <c r="P254"/>
      <c r="Q254"/>
      <c r="R254"/>
      <c r="S254"/>
      <c r="T254"/>
      <c r="U254"/>
      <c r="V254"/>
      <c r="W254"/>
      <c r="X254"/>
    </row>
    <row r="255" spans="1:24" s="106" customFormat="1" ht="15.75" hidden="1" customHeight="1" outlineLevel="1">
      <c r="A255" s="932"/>
      <c r="B255" s="1087"/>
      <c r="C255" s="1096"/>
      <c r="D255" s="1092"/>
      <c r="E255" s="1092"/>
      <c r="F255" s="1094"/>
      <c r="G255" s="103"/>
      <c r="H255" s="101"/>
      <c r="I255" s="1092"/>
      <c r="J255" s="1085"/>
      <c r="K255" s="1085"/>
      <c r="L255" s="932"/>
      <c r="P255"/>
      <c r="Q255"/>
      <c r="R255"/>
      <c r="S255"/>
      <c r="T255"/>
      <c r="U255"/>
      <c r="V255"/>
      <c r="W255"/>
      <c r="X255"/>
    </row>
    <row r="256" spans="1:24" s="106" customFormat="1" ht="15.75" hidden="1" customHeight="1" outlineLevel="1">
      <c r="A256" s="932"/>
      <c r="B256" s="1086">
        <v>82</v>
      </c>
      <c r="C256" s="1095"/>
      <c r="D256" s="1091"/>
      <c r="E256" s="1091" t="s">
        <v>20</v>
      </c>
      <c r="F256" s="1093" t="str">
        <f>VLOOKUP(E256,$N$13:$O$17,2,0)</f>
        <v>-</v>
      </c>
      <c r="G256" s="95"/>
      <c r="H256" s="93"/>
      <c r="I256" s="1091"/>
      <c r="J256" s="1083"/>
      <c r="K256" s="1083"/>
      <c r="L256" s="932"/>
      <c r="P256"/>
      <c r="Q256"/>
      <c r="R256"/>
      <c r="S256"/>
      <c r="T256"/>
      <c r="U256"/>
      <c r="V256"/>
      <c r="W256"/>
      <c r="X256"/>
    </row>
    <row r="257" spans="1:24" s="106" customFormat="1" ht="15.75" hidden="1" customHeight="1" outlineLevel="1">
      <c r="A257" s="932"/>
      <c r="B257" s="1086"/>
      <c r="C257" s="1095"/>
      <c r="D257" s="1091"/>
      <c r="E257" s="1091"/>
      <c r="F257" s="1093"/>
      <c r="G257" s="98"/>
      <c r="H257" s="93"/>
      <c r="I257" s="1091"/>
      <c r="J257" s="1084"/>
      <c r="K257" s="1084"/>
      <c r="L257" s="932"/>
      <c r="P257"/>
      <c r="Q257"/>
      <c r="R257"/>
      <c r="S257"/>
      <c r="T257"/>
      <c r="U257"/>
      <c r="V257"/>
      <c r="W257"/>
      <c r="X257"/>
    </row>
    <row r="258" spans="1:24" s="106" customFormat="1" ht="15.75" hidden="1" customHeight="1" outlineLevel="1">
      <c r="A258" s="932"/>
      <c r="B258" s="1087"/>
      <c r="C258" s="1096"/>
      <c r="D258" s="1092"/>
      <c r="E258" s="1092"/>
      <c r="F258" s="1094"/>
      <c r="G258" s="103"/>
      <c r="H258" s="101"/>
      <c r="I258" s="1092"/>
      <c r="J258" s="1085"/>
      <c r="K258" s="1085"/>
      <c r="L258" s="932"/>
      <c r="P258"/>
      <c r="Q258"/>
      <c r="R258"/>
      <c r="S258"/>
      <c r="T258"/>
      <c r="U258"/>
      <c r="V258"/>
      <c r="W258"/>
      <c r="X258"/>
    </row>
    <row r="259" spans="1:24" s="106" customFormat="1" ht="15.75" hidden="1" customHeight="1" outlineLevel="1">
      <c r="A259" s="932"/>
      <c r="B259" s="1086">
        <v>83</v>
      </c>
      <c r="C259" s="1095"/>
      <c r="D259" s="1091"/>
      <c r="E259" s="1091" t="s">
        <v>20</v>
      </c>
      <c r="F259" s="1093" t="str">
        <f>VLOOKUP(E259,$N$13:$O$17,2,0)</f>
        <v>-</v>
      </c>
      <c r="G259" s="95"/>
      <c r="H259" s="93"/>
      <c r="I259" s="1091"/>
      <c r="J259" s="1083"/>
      <c r="K259" s="1083"/>
      <c r="L259" s="932"/>
      <c r="P259"/>
      <c r="Q259"/>
      <c r="R259"/>
      <c r="S259"/>
      <c r="T259"/>
      <c r="U259"/>
      <c r="V259"/>
      <c r="W259"/>
      <c r="X259"/>
    </row>
    <row r="260" spans="1:24" s="106" customFormat="1" ht="15.75" hidden="1" customHeight="1" outlineLevel="1">
      <c r="A260" s="932"/>
      <c r="B260" s="1086"/>
      <c r="C260" s="1095"/>
      <c r="D260" s="1091"/>
      <c r="E260" s="1091"/>
      <c r="F260" s="1093"/>
      <c r="G260" s="98"/>
      <c r="H260" s="93"/>
      <c r="I260" s="1091"/>
      <c r="J260" s="1084"/>
      <c r="K260" s="1084"/>
      <c r="L260" s="932"/>
      <c r="P260"/>
      <c r="Q260"/>
      <c r="R260"/>
      <c r="S260"/>
      <c r="T260"/>
      <c r="U260"/>
      <c r="V260"/>
      <c r="W260"/>
      <c r="X260"/>
    </row>
    <row r="261" spans="1:24" s="106" customFormat="1" ht="15.75" hidden="1" customHeight="1" outlineLevel="1">
      <c r="A261" s="932"/>
      <c r="B261" s="1087"/>
      <c r="C261" s="1096"/>
      <c r="D261" s="1092"/>
      <c r="E261" s="1092"/>
      <c r="F261" s="1094"/>
      <c r="G261" s="103"/>
      <c r="H261" s="101"/>
      <c r="I261" s="1092"/>
      <c r="J261" s="1085"/>
      <c r="K261" s="1085"/>
      <c r="L261" s="932"/>
      <c r="P261"/>
      <c r="Q261"/>
      <c r="R261"/>
      <c r="S261"/>
      <c r="T261"/>
      <c r="U261"/>
      <c r="V261"/>
      <c r="W261"/>
      <c r="X261"/>
    </row>
    <row r="262" spans="1:24" s="106" customFormat="1" ht="15.75" hidden="1" customHeight="1" outlineLevel="1">
      <c r="A262" s="932"/>
      <c r="B262" s="1086">
        <v>84</v>
      </c>
      <c r="C262" s="1095"/>
      <c r="D262" s="1091"/>
      <c r="E262" s="1091" t="s">
        <v>20</v>
      </c>
      <c r="F262" s="1093" t="str">
        <f>VLOOKUP(E262,$N$13:$O$17,2,0)</f>
        <v>-</v>
      </c>
      <c r="G262" s="95"/>
      <c r="H262" s="93"/>
      <c r="I262" s="1091"/>
      <c r="J262" s="1083"/>
      <c r="K262" s="1083"/>
      <c r="L262" s="932"/>
      <c r="P262"/>
      <c r="Q262"/>
      <c r="R262"/>
      <c r="S262"/>
      <c r="T262"/>
      <c r="U262"/>
      <c r="V262"/>
      <c r="W262"/>
      <c r="X262"/>
    </row>
    <row r="263" spans="1:24" s="106" customFormat="1" ht="15.75" hidden="1" customHeight="1" outlineLevel="1">
      <c r="A263" s="932"/>
      <c r="B263" s="1086"/>
      <c r="C263" s="1095"/>
      <c r="D263" s="1091"/>
      <c r="E263" s="1091"/>
      <c r="F263" s="1093"/>
      <c r="G263" s="98"/>
      <c r="H263" s="93"/>
      <c r="I263" s="1091"/>
      <c r="J263" s="1084"/>
      <c r="K263" s="1084"/>
      <c r="L263" s="932"/>
      <c r="P263"/>
      <c r="Q263"/>
      <c r="R263"/>
      <c r="S263"/>
      <c r="T263"/>
      <c r="U263"/>
      <c r="V263"/>
      <c r="W263"/>
      <c r="X263"/>
    </row>
    <row r="264" spans="1:24" s="106" customFormat="1" ht="15.75" hidden="1" customHeight="1" outlineLevel="1">
      <c r="A264" s="932"/>
      <c r="B264" s="1087"/>
      <c r="C264" s="1096"/>
      <c r="D264" s="1092"/>
      <c r="E264" s="1092"/>
      <c r="F264" s="1094"/>
      <c r="G264" s="103"/>
      <c r="H264" s="101"/>
      <c r="I264" s="1092"/>
      <c r="J264" s="1085"/>
      <c r="K264" s="1085"/>
      <c r="L264" s="932"/>
      <c r="P264"/>
      <c r="Q264"/>
      <c r="R264"/>
      <c r="S264"/>
      <c r="T264"/>
      <c r="U264"/>
      <c r="V264"/>
      <c r="W264"/>
      <c r="X264"/>
    </row>
    <row r="265" spans="1:24" s="106" customFormat="1" ht="15.75" hidden="1" customHeight="1" outlineLevel="1">
      <c r="A265" s="932"/>
      <c r="B265" s="1086">
        <v>85</v>
      </c>
      <c r="C265" s="1095"/>
      <c r="D265" s="1091"/>
      <c r="E265" s="1091" t="s">
        <v>20</v>
      </c>
      <c r="F265" s="1093" t="str">
        <f>VLOOKUP(E265,$N$13:$O$17,2,0)</f>
        <v>-</v>
      </c>
      <c r="G265" s="95"/>
      <c r="H265" s="93"/>
      <c r="I265" s="1091"/>
      <c r="J265" s="1083"/>
      <c r="K265" s="1083"/>
      <c r="L265" s="932"/>
      <c r="P265"/>
      <c r="Q265"/>
      <c r="R265"/>
      <c r="S265"/>
      <c r="T265"/>
      <c r="U265"/>
      <c r="V265"/>
      <c r="W265"/>
      <c r="X265"/>
    </row>
    <row r="266" spans="1:24" s="106" customFormat="1" ht="15.75" hidden="1" customHeight="1" outlineLevel="1">
      <c r="A266" s="932"/>
      <c r="B266" s="1086"/>
      <c r="C266" s="1095"/>
      <c r="D266" s="1091"/>
      <c r="E266" s="1091"/>
      <c r="F266" s="1093"/>
      <c r="G266" s="98"/>
      <c r="H266" s="93"/>
      <c r="I266" s="1091"/>
      <c r="J266" s="1084"/>
      <c r="K266" s="1084"/>
      <c r="L266" s="932"/>
      <c r="P266"/>
      <c r="Q266"/>
      <c r="R266"/>
      <c r="S266"/>
      <c r="T266"/>
      <c r="U266"/>
      <c r="V266"/>
      <c r="W266"/>
      <c r="X266"/>
    </row>
    <row r="267" spans="1:24" s="106" customFormat="1" ht="15.75" hidden="1" customHeight="1" outlineLevel="1">
      <c r="A267" s="932"/>
      <c r="B267" s="1087"/>
      <c r="C267" s="1096"/>
      <c r="D267" s="1092"/>
      <c r="E267" s="1092"/>
      <c r="F267" s="1094"/>
      <c r="G267" s="103"/>
      <c r="H267" s="101"/>
      <c r="I267" s="1092"/>
      <c r="J267" s="1085"/>
      <c r="K267" s="1085"/>
      <c r="L267" s="932"/>
      <c r="P267"/>
      <c r="Q267"/>
      <c r="R267"/>
      <c r="S267"/>
      <c r="T267"/>
      <c r="U267"/>
      <c r="V267"/>
      <c r="W267"/>
      <c r="X267"/>
    </row>
    <row r="268" spans="1:24" s="106" customFormat="1" ht="15.75" hidden="1" customHeight="1" outlineLevel="1">
      <c r="A268" s="932"/>
      <c r="B268" s="1086">
        <v>86</v>
      </c>
      <c r="C268" s="1095"/>
      <c r="D268" s="1091"/>
      <c r="E268" s="1091" t="s">
        <v>20</v>
      </c>
      <c r="F268" s="1093" t="str">
        <f>VLOOKUP(E268,$N$13:$O$17,2,0)</f>
        <v>-</v>
      </c>
      <c r="G268" s="95"/>
      <c r="H268" s="93"/>
      <c r="I268" s="1091"/>
      <c r="J268" s="1083"/>
      <c r="K268" s="1083"/>
      <c r="L268" s="932"/>
      <c r="P268"/>
      <c r="Q268"/>
      <c r="R268"/>
      <c r="S268"/>
      <c r="T268"/>
      <c r="U268"/>
      <c r="V268"/>
      <c r="W268"/>
      <c r="X268"/>
    </row>
    <row r="269" spans="1:24" s="106" customFormat="1" ht="15.75" hidden="1" customHeight="1" outlineLevel="1">
      <c r="A269" s="932"/>
      <c r="B269" s="1086"/>
      <c r="C269" s="1095"/>
      <c r="D269" s="1091"/>
      <c r="E269" s="1091"/>
      <c r="F269" s="1093"/>
      <c r="G269" s="98"/>
      <c r="H269" s="93"/>
      <c r="I269" s="1091"/>
      <c r="J269" s="1084"/>
      <c r="K269" s="1084"/>
      <c r="L269" s="932"/>
      <c r="P269"/>
      <c r="Q269"/>
      <c r="R269"/>
      <c r="S269"/>
      <c r="T269"/>
      <c r="U269"/>
      <c r="V269"/>
      <c r="W269"/>
      <c r="X269"/>
    </row>
    <row r="270" spans="1:24" s="106" customFormat="1" ht="15.75" hidden="1" customHeight="1" outlineLevel="1">
      <c r="A270" s="932"/>
      <c r="B270" s="1087"/>
      <c r="C270" s="1096"/>
      <c r="D270" s="1092"/>
      <c r="E270" s="1092"/>
      <c r="F270" s="1094"/>
      <c r="G270" s="103"/>
      <c r="H270" s="101"/>
      <c r="I270" s="1092"/>
      <c r="J270" s="1085"/>
      <c r="K270" s="1085"/>
      <c r="L270" s="932"/>
      <c r="P270"/>
      <c r="Q270"/>
      <c r="R270"/>
      <c r="S270"/>
      <c r="T270"/>
      <c r="U270"/>
      <c r="V270"/>
      <c r="W270"/>
      <c r="X270"/>
    </row>
    <row r="271" spans="1:24" s="106" customFormat="1" ht="15.75" hidden="1" customHeight="1" outlineLevel="1">
      <c r="A271" s="932"/>
      <c r="B271" s="1086">
        <v>87</v>
      </c>
      <c r="C271" s="1095"/>
      <c r="D271" s="1091"/>
      <c r="E271" s="1091" t="s">
        <v>20</v>
      </c>
      <c r="F271" s="1093" t="str">
        <f>VLOOKUP(E271,$N$13:$O$17,2,0)</f>
        <v>-</v>
      </c>
      <c r="G271" s="95"/>
      <c r="H271" s="93"/>
      <c r="I271" s="1091"/>
      <c r="J271" s="1083"/>
      <c r="K271" s="1083"/>
      <c r="L271" s="932"/>
      <c r="P271"/>
      <c r="Q271"/>
      <c r="R271"/>
      <c r="S271"/>
      <c r="T271"/>
      <c r="U271"/>
      <c r="V271"/>
      <c r="W271"/>
      <c r="X271"/>
    </row>
    <row r="272" spans="1:24" s="106" customFormat="1" ht="15.75" hidden="1" customHeight="1" outlineLevel="1">
      <c r="A272" s="932"/>
      <c r="B272" s="1086"/>
      <c r="C272" s="1095"/>
      <c r="D272" s="1091"/>
      <c r="E272" s="1091"/>
      <c r="F272" s="1093"/>
      <c r="G272" s="98"/>
      <c r="H272" s="93"/>
      <c r="I272" s="1091"/>
      <c r="J272" s="1084"/>
      <c r="K272" s="1084"/>
      <c r="L272" s="932"/>
      <c r="P272"/>
      <c r="Q272"/>
      <c r="R272"/>
      <c r="S272"/>
      <c r="T272"/>
      <c r="U272"/>
      <c r="V272"/>
      <c r="W272"/>
      <c r="X272"/>
    </row>
    <row r="273" spans="1:24" s="106" customFormat="1" ht="15.75" hidden="1" customHeight="1" outlineLevel="1">
      <c r="A273" s="932"/>
      <c r="B273" s="1087"/>
      <c r="C273" s="1096"/>
      <c r="D273" s="1092"/>
      <c r="E273" s="1092"/>
      <c r="F273" s="1094"/>
      <c r="G273" s="103"/>
      <c r="H273" s="101"/>
      <c r="I273" s="1092"/>
      <c r="J273" s="1085"/>
      <c r="K273" s="1085"/>
      <c r="L273" s="932"/>
      <c r="P273"/>
      <c r="Q273"/>
      <c r="R273"/>
      <c r="S273"/>
      <c r="T273"/>
      <c r="U273"/>
      <c r="V273"/>
      <c r="W273"/>
      <c r="X273"/>
    </row>
    <row r="274" spans="1:24" s="106" customFormat="1" ht="15.75" hidden="1" customHeight="1" outlineLevel="1">
      <c r="A274" s="932"/>
      <c r="B274" s="1086">
        <v>88</v>
      </c>
      <c r="C274" s="1095"/>
      <c r="D274" s="1091"/>
      <c r="E274" s="1091" t="s">
        <v>20</v>
      </c>
      <c r="F274" s="1093" t="str">
        <f>VLOOKUP(E274,$N$13:$O$17,2,0)</f>
        <v>-</v>
      </c>
      <c r="G274" s="95"/>
      <c r="H274" s="93"/>
      <c r="I274" s="1091"/>
      <c r="J274" s="1083"/>
      <c r="K274" s="1083"/>
      <c r="L274" s="932"/>
      <c r="P274"/>
      <c r="Q274"/>
      <c r="R274"/>
      <c r="S274"/>
      <c r="T274"/>
      <c r="U274"/>
      <c r="V274"/>
      <c r="W274"/>
      <c r="X274"/>
    </row>
    <row r="275" spans="1:24" s="106" customFormat="1" ht="15.75" hidden="1" customHeight="1" outlineLevel="1">
      <c r="A275" s="932"/>
      <c r="B275" s="1086"/>
      <c r="C275" s="1095"/>
      <c r="D275" s="1091"/>
      <c r="E275" s="1091"/>
      <c r="F275" s="1093"/>
      <c r="G275" s="98"/>
      <c r="H275" s="93"/>
      <c r="I275" s="1091"/>
      <c r="J275" s="1084"/>
      <c r="K275" s="1084"/>
      <c r="L275" s="932"/>
      <c r="P275"/>
      <c r="Q275"/>
      <c r="R275"/>
      <c r="S275"/>
      <c r="T275"/>
      <c r="U275"/>
      <c r="V275"/>
      <c r="W275"/>
      <c r="X275"/>
    </row>
    <row r="276" spans="1:24" s="106" customFormat="1" ht="15.75" hidden="1" customHeight="1" outlineLevel="1">
      <c r="A276" s="932"/>
      <c r="B276" s="1087"/>
      <c r="C276" s="1096"/>
      <c r="D276" s="1092"/>
      <c r="E276" s="1092"/>
      <c r="F276" s="1094"/>
      <c r="G276" s="103"/>
      <c r="H276" s="101"/>
      <c r="I276" s="1092"/>
      <c r="J276" s="1085"/>
      <c r="K276" s="1085"/>
      <c r="L276" s="932"/>
      <c r="P276"/>
      <c r="Q276"/>
      <c r="R276"/>
      <c r="S276"/>
      <c r="T276"/>
      <c r="U276"/>
      <c r="V276"/>
      <c r="W276"/>
      <c r="X276"/>
    </row>
    <row r="277" spans="1:24" s="106" customFormat="1" ht="15.75" hidden="1" customHeight="1" outlineLevel="1">
      <c r="A277" s="932"/>
      <c r="B277" s="1086">
        <v>89</v>
      </c>
      <c r="C277" s="1095"/>
      <c r="D277" s="1091"/>
      <c r="E277" s="1091" t="s">
        <v>20</v>
      </c>
      <c r="F277" s="1093" t="str">
        <f>VLOOKUP(E277,$N$13:$O$17,2,0)</f>
        <v>-</v>
      </c>
      <c r="G277" s="95"/>
      <c r="H277" s="93"/>
      <c r="I277" s="1091"/>
      <c r="J277" s="1083"/>
      <c r="K277" s="1083"/>
      <c r="L277" s="932"/>
      <c r="P277"/>
      <c r="Q277"/>
      <c r="R277"/>
      <c r="S277"/>
      <c r="T277"/>
      <c r="U277"/>
      <c r="V277"/>
      <c r="W277"/>
      <c r="X277"/>
    </row>
    <row r="278" spans="1:24" s="106" customFormat="1" ht="15.75" hidden="1" customHeight="1" outlineLevel="1">
      <c r="A278" s="932"/>
      <c r="B278" s="1086"/>
      <c r="C278" s="1095"/>
      <c r="D278" s="1091"/>
      <c r="E278" s="1091"/>
      <c r="F278" s="1093"/>
      <c r="G278" s="98"/>
      <c r="H278" s="93"/>
      <c r="I278" s="1091"/>
      <c r="J278" s="1084"/>
      <c r="K278" s="1084"/>
      <c r="L278" s="932"/>
      <c r="P278"/>
      <c r="Q278"/>
      <c r="R278"/>
      <c r="S278"/>
      <c r="T278"/>
      <c r="U278"/>
      <c r="V278"/>
      <c r="W278"/>
      <c r="X278"/>
    </row>
    <row r="279" spans="1:24" s="106" customFormat="1" ht="15.75" hidden="1" customHeight="1" outlineLevel="1">
      <c r="A279" s="932"/>
      <c r="B279" s="1087"/>
      <c r="C279" s="1096"/>
      <c r="D279" s="1092"/>
      <c r="E279" s="1092"/>
      <c r="F279" s="1094"/>
      <c r="G279" s="103"/>
      <c r="H279" s="101"/>
      <c r="I279" s="1092"/>
      <c r="J279" s="1085"/>
      <c r="K279" s="1085"/>
      <c r="L279" s="932"/>
      <c r="P279"/>
      <c r="Q279"/>
      <c r="R279"/>
      <c r="S279"/>
      <c r="T279"/>
      <c r="U279"/>
      <c r="V279"/>
      <c r="W279"/>
      <c r="X279"/>
    </row>
    <row r="280" spans="1:24" s="106" customFormat="1" ht="15.75" hidden="1" customHeight="1" outlineLevel="1">
      <c r="A280" s="932"/>
      <c r="B280" s="1086">
        <v>90</v>
      </c>
      <c r="C280" s="1095"/>
      <c r="D280" s="1091"/>
      <c r="E280" s="1091" t="s">
        <v>20</v>
      </c>
      <c r="F280" s="1093" t="str">
        <f>VLOOKUP(E280,$N$13:$O$17,2,0)</f>
        <v>-</v>
      </c>
      <c r="G280" s="95"/>
      <c r="H280" s="93"/>
      <c r="I280" s="1091"/>
      <c r="J280" s="1083"/>
      <c r="K280" s="1083"/>
      <c r="L280" s="932"/>
      <c r="P280"/>
      <c r="Q280"/>
      <c r="R280"/>
      <c r="S280"/>
      <c r="T280"/>
      <c r="U280"/>
      <c r="V280"/>
      <c r="W280"/>
      <c r="X280"/>
    </row>
    <row r="281" spans="1:24" s="106" customFormat="1" ht="15.75" hidden="1" customHeight="1" outlineLevel="1">
      <c r="A281" s="932"/>
      <c r="B281" s="1086"/>
      <c r="C281" s="1095"/>
      <c r="D281" s="1091"/>
      <c r="E281" s="1091"/>
      <c r="F281" s="1093"/>
      <c r="G281" s="98"/>
      <c r="H281" s="93"/>
      <c r="I281" s="1091"/>
      <c r="J281" s="1084"/>
      <c r="K281" s="1084"/>
      <c r="L281" s="932"/>
      <c r="P281"/>
      <c r="Q281"/>
      <c r="R281"/>
      <c r="S281"/>
      <c r="T281"/>
      <c r="U281"/>
      <c r="V281"/>
      <c r="W281"/>
      <c r="X281"/>
    </row>
    <row r="282" spans="1:24" s="106" customFormat="1" ht="15.75" hidden="1" customHeight="1" outlineLevel="1">
      <c r="A282" s="932"/>
      <c r="B282" s="1087"/>
      <c r="C282" s="1096"/>
      <c r="D282" s="1092"/>
      <c r="E282" s="1092"/>
      <c r="F282" s="1094"/>
      <c r="G282" s="103"/>
      <c r="H282" s="101"/>
      <c r="I282" s="1092"/>
      <c r="J282" s="1085"/>
      <c r="K282" s="1085"/>
      <c r="L282" s="932"/>
      <c r="P282"/>
      <c r="Q282"/>
      <c r="R282"/>
      <c r="S282"/>
      <c r="T282"/>
      <c r="U282"/>
      <c r="V282"/>
      <c r="W282"/>
      <c r="X282"/>
    </row>
    <row r="283" spans="1:24" s="106" customFormat="1" ht="15.75" hidden="1" customHeight="1" outlineLevel="1">
      <c r="A283" s="932"/>
      <c r="B283" s="1086">
        <v>91</v>
      </c>
      <c r="C283" s="1095"/>
      <c r="D283" s="1091"/>
      <c r="E283" s="1091" t="s">
        <v>20</v>
      </c>
      <c r="F283" s="1093" t="str">
        <f>VLOOKUP(E283,$N$13:$O$17,2,0)</f>
        <v>-</v>
      </c>
      <c r="G283" s="95"/>
      <c r="H283" s="93"/>
      <c r="I283" s="1091"/>
      <c r="J283" s="1083"/>
      <c r="K283" s="1083"/>
      <c r="L283" s="932"/>
      <c r="P283"/>
      <c r="Q283"/>
      <c r="R283"/>
      <c r="S283"/>
      <c r="T283"/>
      <c r="U283"/>
      <c r="V283"/>
      <c r="W283"/>
      <c r="X283"/>
    </row>
    <row r="284" spans="1:24" s="106" customFormat="1" ht="15.75" hidden="1" customHeight="1" outlineLevel="1">
      <c r="A284" s="932"/>
      <c r="B284" s="1086"/>
      <c r="C284" s="1095"/>
      <c r="D284" s="1091"/>
      <c r="E284" s="1091"/>
      <c r="F284" s="1093"/>
      <c r="G284" s="98"/>
      <c r="H284" s="93"/>
      <c r="I284" s="1091"/>
      <c r="J284" s="1084"/>
      <c r="K284" s="1084"/>
      <c r="L284" s="932"/>
      <c r="P284"/>
      <c r="Q284"/>
      <c r="R284"/>
      <c r="S284"/>
      <c r="T284"/>
      <c r="U284"/>
      <c r="V284"/>
      <c r="W284"/>
      <c r="X284"/>
    </row>
    <row r="285" spans="1:24" s="106" customFormat="1" ht="15.75" hidden="1" customHeight="1" outlineLevel="1">
      <c r="A285" s="932"/>
      <c r="B285" s="1087"/>
      <c r="C285" s="1096"/>
      <c r="D285" s="1092"/>
      <c r="E285" s="1092"/>
      <c r="F285" s="1094"/>
      <c r="G285" s="103"/>
      <c r="H285" s="101"/>
      <c r="I285" s="1092"/>
      <c r="J285" s="1085"/>
      <c r="K285" s="1085"/>
      <c r="L285" s="932"/>
      <c r="P285"/>
      <c r="Q285"/>
      <c r="R285"/>
      <c r="S285"/>
      <c r="T285"/>
      <c r="U285"/>
      <c r="V285"/>
      <c r="W285"/>
      <c r="X285"/>
    </row>
    <row r="286" spans="1:24" s="106" customFormat="1" ht="15.75" hidden="1" customHeight="1" outlineLevel="1">
      <c r="A286" s="932"/>
      <c r="B286" s="1086">
        <v>92</v>
      </c>
      <c r="C286" s="1095"/>
      <c r="D286" s="1091"/>
      <c r="E286" s="1091" t="s">
        <v>20</v>
      </c>
      <c r="F286" s="1093" t="str">
        <f>VLOOKUP(E286,$N$13:$O$17,2,0)</f>
        <v>-</v>
      </c>
      <c r="G286" s="95"/>
      <c r="H286" s="93"/>
      <c r="I286" s="1091"/>
      <c r="J286" s="1083"/>
      <c r="K286" s="1083"/>
      <c r="L286" s="932"/>
      <c r="P286"/>
      <c r="Q286"/>
      <c r="R286"/>
      <c r="S286"/>
      <c r="T286"/>
      <c r="U286"/>
      <c r="V286"/>
      <c r="W286"/>
      <c r="X286"/>
    </row>
    <row r="287" spans="1:24" s="106" customFormat="1" ht="15.75" hidden="1" customHeight="1" outlineLevel="1">
      <c r="A287" s="932"/>
      <c r="B287" s="1086"/>
      <c r="C287" s="1095"/>
      <c r="D287" s="1091"/>
      <c r="E287" s="1091"/>
      <c r="F287" s="1093"/>
      <c r="G287" s="98"/>
      <c r="H287" s="93"/>
      <c r="I287" s="1091"/>
      <c r="J287" s="1084"/>
      <c r="K287" s="1084"/>
      <c r="L287" s="932"/>
      <c r="P287"/>
      <c r="Q287"/>
      <c r="R287"/>
      <c r="S287"/>
      <c r="T287"/>
      <c r="U287"/>
      <c r="V287"/>
      <c r="W287"/>
      <c r="X287"/>
    </row>
    <row r="288" spans="1:24" s="106" customFormat="1" ht="15.75" hidden="1" customHeight="1" outlineLevel="1">
      <c r="A288" s="932"/>
      <c r="B288" s="1087"/>
      <c r="C288" s="1096"/>
      <c r="D288" s="1092"/>
      <c r="E288" s="1092"/>
      <c r="F288" s="1094"/>
      <c r="G288" s="103"/>
      <c r="H288" s="101"/>
      <c r="I288" s="1092"/>
      <c r="J288" s="1085"/>
      <c r="K288" s="1085"/>
      <c r="L288" s="932"/>
      <c r="P288"/>
      <c r="Q288"/>
      <c r="R288"/>
      <c r="S288"/>
      <c r="T288"/>
      <c r="U288"/>
      <c r="V288"/>
      <c r="W288"/>
      <c r="X288"/>
    </row>
    <row r="289" spans="1:24" s="106" customFormat="1" ht="15.75" hidden="1" customHeight="1" outlineLevel="1">
      <c r="A289" s="932"/>
      <c r="B289" s="1086">
        <v>93</v>
      </c>
      <c r="C289" s="1095"/>
      <c r="D289" s="1091"/>
      <c r="E289" s="1091" t="s">
        <v>20</v>
      </c>
      <c r="F289" s="1093" t="str">
        <f>VLOOKUP(E289,$N$13:$O$17,2,0)</f>
        <v>-</v>
      </c>
      <c r="G289" s="95"/>
      <c r="H289" s="93"/>
      <c r="I289" s="1091"/>
      <c r="J289" s="1083"/>
      <c r="K289" s="1083"/>
      <c r="L289" s="932"/>
      <c r="P289"/>
      <c r="Q289"/>
      <c r="R289"/>
      <c r="S289"/>
      <c r="T289"/>
      <c r="U289"/>
      <c r="V289"/>
      <c r="W289"/>
      <c r="X289"/>
    </row>
    <row r="290" spans="1:24" s="106" customFormat="1" ht="15.75" hidden="1" customHeight="1" outlineLevel="1">
      <c r="A290" s="932"/>
      <c r="B290" s="1086"/>
      <c r="C290" s="1095"/>
      <c r="D290" s="1091"/>
      <c r="E290" s="1091"/>
      <c r="F290" s="1093"/>
      <c r="G290" s="98"/>
      <c r="H290" s="93"/>
      <c r="I290" s="1091"/>
      <c r="J290" s="1084"/>
      <c r="K290" s="1084"/>
      <c r="L290" s="932"/>
      <c r="P290"/>
      <c r="Q290"/>
      <c r="R290"/>
      <c r="S290"/>
      <c r="T290"/>
      <c r="U290"/>
      <c r="V290"/>
      <c r="W290"/>
      <c r="X290"/>
    </row>
    <row r="291" spans="1:24" s="106" customFormat="1" ht="15.75" hidden="1" customHeight="1" outlineLevel="1">
      <c r="A291" s="932"/>
      <c r="B291" s="1087"/>
      <c r="C291" s="1096"/>
      <c r="D291" s="1092"/>
      <c r="E291" s="1092"/>
      <c r="F291" s="1094"/>
      <c r="G291" s="103"/>
      <c r="H291" s="101"/>
      <c r="I291" s="1092"/>
      <c r="J291" s="1085"/>
      <c r="K291" s="1085"/>
      <c r="L291" s="932"/>
      <c r="P291"/>
      <c r="Q291"/>
      <c r="R291"/>
      <c r="S291"/>
      <c r="T291"/>
      <c r="U291"/>
      <c r="V291"/>
      <c r="W291"/>
      <c r="X291"/>
    </row>
    <row r="292" spans="1:24" s="106" customFormat="1" ht="15.75" hidden="1" customHeight="1" outlineLevel="1">
      <c r="A292" s="932"/>
      <c r="B292" s="1086">
        <v>94</v>
      </c>
      <c r="C292" s="1095"/>
      <c r="D292" s="1091"/>
      <c r="E292" s="1091" t="s">
        <v>20</v>
      </c>
      <c r="F292" s="1093" t="str">
        <f>VLOOKUP(E292,$N$13:$O$17,2,0)</f>
        <v>-</v>
      </c>
      <c r="G292" s="95"/>
      <c r="H292" s="93"/>
      <c r="I292" s="1091"/>
      <c r="J292" s="1083"/>
      <c r="K292" s="1083"/>
      <c r="L292" s="932"/>
      <c r="P292"/>
      <c r="Q292"/>
      <c r="R292"/>
      <c r="S292"/>
      <c r="T292"/>
      <c r="U292"/>
      <c r="V292"/>
      <c r="W292"/>
      <c r="X292"/>
    </row>
    <row r="293" spans="1:24" s="106" customFormat="1" ht="15.75" hidden="1" customHeight="1" outlineLevel="1">
      <c r="A293" s="932"/>
      <c r="B293" s="1086"/>
      <c r="C293" s="1095"/>
      <c r="D293" s="1091"/>
      <c r="E293" s="1091"/>
      <c r="F293" s="1093"/>
      <c r="G293" s="98"/>
      <c r="H293" s="93"/>
      <c r="I293" s="1091"/>
      <c r="J293" s="1084"/>
      <c r="K293" s="1084"/>
      <c r="L293" s="932"/>
      <c r="P293"/>
      <c r="Q293"/>
      <c r="R293"/>
      <c r="S293"/>
      <c r="T293"/>
      <c r="U293"/>
      <c r="V293"/>
      <c r="W293"/>
      <c r="X293"/>
    </row>
    <row r="294" spans="1:24" s="106" customFormat="1" ht="15.75" hidden="1" customHeight="1" outlineLevel="1">
      <c r="A294" s="932"/>
      <c r="B294" s="1087"/>
      <c r="C294" s="1096"/>
      <c r="D294" s="1092"/>
      <c r="E294" s="1092"/>
      <c r="F294" s="1094"/>
      <c r="G294" s="103"/>
      <c r="H294" s="101"/>
      <c r="I294" s="1092"/>
      <c r="J294" s="1085"/>
      <c r="K294" s="1085"/>
      <c r="L294" s="932"/>
      <c r="P294"/>
      <c r="Q294"/>
      <c r="R294"/>
      <c r="S294"/>
      <c r="T294"/>
      <c r="U294"/>
      <c r="V294"/>
      <c r="W294"/>
      <c r="X294"/>
    </row>
    <row r="295" spans="1:24" s="106" customFormat="1" ht="15.75" hidden="1" customHeight="1" outlineLevel="1">
      <c r="A295" s="932"/>
      <c r="B295" s="1086">
        <v>95</v>
      </c>
      <c r="C295" s="1095"/>
      <c r="D295" s="1091"/>
      <c r="E295" s="1091" t="s">
        <v>20</v>
      </c>
      <c r="F295" s="1093" t="str">
        <f>VLOOKUP(E295,$N$13:$O$17,2,0)</f>
        <v>-</v>
      </c>
      <c r="G295" s="95"/>
      <c r="H295" s="93"/>
      <c r="I295" s="1091"/>
      <c r="J295" s="1083"/>
      <c r="K295" s="1083"/>
      <c r="L295" s="932"/>
      <c r="P295"/>
      <c r="Q295"/>
      <c r="R295"/>
      <c r="S295"/>
      <c r="T295"/>
      <c r="U295"/>
      <c r="V295"/>
      <c r="W295"/>
      <c r="X295"/>
    </row>
    <row r="296" spans="1:24" s="106" customFormat="1" ht="15.75" hidden="1" customHeight="1" outlineLevel="1">
      <c r="A296" s="932"/>
      <c r="B296" s="1086"/>
      <c r="C296" s="1095"/>
      <c r="D296" s="1091"/>
      <c r="E296" s="1091"/>
      <c r="F296" s="1093"/>
      <c r="G296" s="98"/>
      <c r="H296" s="93"/>
      <c r="I296" s="1091"/>
      <c r="J296" s="1084"/>
      <c r="K296" s="1084"/>
      <c r="L296" s="932"/>
      <c r="P296"/>
      <c r="Q296"/>
      <c r="R296"/>
      <c r="S296"/>
      <c r="T296"/>
      <c r="U296"/>
      <c r="V296"/>
      <c r="W296"/>
      <c r="X296"/>
    </row>
    <row r="297" spans="1:24" s="106" customFormat="1" ht="15.75" hidden="1" customHeight="1" outlineLevel="1">
      <c r="A297" s="932"/>
      <c r="B297" s="1087"/>
      <c r="C297" s="1096"/>
      <c r="D297" s="1092"/>
      <c r="E297" s="1092"/>
      <c r="F297" s="1094"/>
      <c r="G297" s="103"/>
      <c r="H297" s="101"/>
      <c r="I297" s="1092"/>
      <c r="J297" s="1085"/>
      <c r="K297" s="1085"/>
      <c r="L297" s="932"/>
      <c r="P297"/>
      <c r="Q297"/>
      <c r="R297"/>
      <c r="S297"/>
      <c r="T297"/>
      <c r="U297"/>
      <c r="V297"/>
      <c r="W297"/>
      <c r="X297"/>
    </row>
    <row r="298" spans="1:24" s="106" customFormat="1" ht="15.75" hidden="1" customHeight="1" outlineLevel="1">
      <c r="A298" s="932"/>
      <c r="B298" s="1086">
        <v>96</v>
      </c>
      <c r="C298" s="1095"/>
      <c r="D298" s="1091"/>
      <c r="E298" s="1091" t="s">
        <v>20</v>
      </c>
      <c r="F298" s="1093" t="str">
        <f>VLOOKUP(E298,$N$13:$O$17,2,0)</f>
        <v>-</v>
      </c>
      <c r="G298" s="95"/>
      <c r="H298" s="93"/>
      <c r="I298" s="1091"/>
      <c r="J298" s="1083"/>
      <c r="K298" s="1083"/>
      <c r="L298" s="932"/>
      <c r="P298"/>
      <c r="Q298"/>
      <c r="R298"/>
      <c r="S298"/>
      <c r="T298"/>
      <c r="U298"/>
      <c r="V298"/>
      <c r="W298"/>
      <c r="X298"/>
    </row>
    <row r="299" spans="1:24" s="106" customFormat="1" ht="15.75" hidden="1" customHeight="1" outlineLevel="1">
      <c r="A299" s="932"/>
      <c r="B299" s="1086"/>
      <c r="C299" s="1095"/>
      <c r="D299" s="1091"/>
      <c r="E299" s="1091"/>
      <c r="F299" s="1093"/>
      <c r="G299" s="98"/>
      <c r="H299" s="93"/>
      <c r="I299" s="1091"/>
      <c r="J299" s="1084"/>
      <c r="K299" s="1084"/>
      <c r="L299" s="932"/>
      <c r="P299"/>
      <c r="Q299"/>
      <c r="R299"/>
      <c r="S299"/>
      <c r="T299"/>
      <c r="U299"/>
      <c r="V299"/>
      <c r="W299"/>
      <c r="X299"/>
    </row>
    <row r="300" spans="1:24" s="106" customFormat="1" ht="15.75" hidden="1" customHeight="1" outlineLevel="1">
      <c r="A300" s="932"/>
      <c r="B300" s="1087"/>
      <c r="C300" s="1096"/>
      <c r="D300" s="1092"/>
      <c r="E300" s="1092"/>
      <c r="F300" s="1094"/>
      <c r="G300" s="103"/>
      <c r="H300" s="101"/>
      <c r="I300" s="1092"/>
      <c r="J300" s="1085"/>
      <c r="K300" s="1085"/>
      <c r="L300" s="932"/>
      <c r="P300"/>
      <c r="Q300"/>
      <c r="R300"/>
      <c r="S300"/>
      <c r="T300"/>
      <c r="U300"/>
      <c r="V300"/>
      <c r="W300"/>
      <c r="X300"/>
    </row>
    <row r="301" spans="1:24" s="106" customFormat="1" ht="15.75" hidden="1" customHeight="1" outlineLevel="1">
      <c r="A301" s="932"/>
      <c r="B301" s="1086">
        <v>97</v>
      </c>
      <c r="C301" s="1095"/>
      <c r="D301" s="1091"/>
      <c r="E301" s="1091" t="s">
        <v>20</v>
      </c>
      <c r="F301" s="1093" t="str">
        <f>VLOOKUP(E301,$N$13:$O$17,2,0)</f>
        <v>-</v>
      </c>
      <c r="G301" s="95"/>
      <c r="H301" s="93"/>
      <c r="I301" s="1091"/>
      <c r="J301" s="1083"/>
      <c r="K301" s="1083"/>
      <c r="L301" s="932"/>
      <c r="P301"/>
      <c r="Q301"/>
      <c r="R301"/>
      <c r="S301"/>
      <c r="T301"/>
      <c r="U301"/>
      <c r="V301"/>
      <c r="W301"/>
      <c r="X301"/>
    </row>
    <row r="302" spans="1:24" s="106" customFormat="1" ht="15.75" hidden="1" customHeight="1" outlineLevel="1">
      <c r="A302" s="932"/>
      <c r="B302" s="1086"/>
      <c r="C302" s="1095"/>
      <c r="D302" s="1091"/>
      <c r="E302" s="1091"/>
      <c r="F302" s="1093"/>
      <c r="G302" s="98"/>
      <c r="H302" s="93"/>
      <c r="I302" s="1091"/>
      <c r="J302" s="1084"/>
      <c r="K302" s="1084"/>
      <c r="L302" s="932"/>
      <c r="P302"/>
      <c r="Q302"/>
      <c r="R302"/>
      <c r="S302"/>
      <c r="T302"/>
      <c r="U302"/>
      <c r="V302"/>
      <c r="W302"/>
      <c r="X302"/>
    </row>
    <row r="303" spans="1:24" s="106" customFormat="1" ht="15.75" hidden="1" customHeight="1" outlineLevel="1">
      <c r="A303" s="932"/>
      <c r="B303" s="1087"/>
      <c r="C303" s="1096"/>
      <c r="D303" s="1092"/>
      <c r="E303" s="1092"/>
      <c r="F303" s="1094"/>
      <c r="G303" s="103"/>
      <c r="H303" s="101"/>
      <c r="I303" s="1092"/>
      <c r="J303" s="1085"/>
      <c r="K303" s="1085"/>
      <c r="L303" s="932"/>
      <c r="P303"/>
      <c r="Q303"/>
      <c r="R303"/>
      <c r="S303"/>
      <c r="T303"/>
      <c r="U303"/>
      <c r="V303"/>
      <c r="W303"/>
      <c r="X303"/>
    </row>
    <row r="304" spans="1:24" s="106" customFormat="1" ht="15.75" hidden="1" customHeight="1" outlineLevel="1">
      <c r="A304" s="932"/>
      <c r="B304" s="1086">
        <v>98</v>
      </c>
      <c r="C304" s="1095"/>
      <c r="D304" s="1091"/>
      <c r="E304" s="1091" t="s">
        <v>20</v>
      </c>
      <c r="F304" s="1093" t="str">
        <f>VLOOKUP(E304,$N$13:$O$17,2,0)</f>
        <v>-</v>
      </c>
      <c r="G304" s="95"/>
      <c r="H304" s="93"/>
      <c r="I304" s="1091"/>
      <c r="J304" s="1083"/>
      <c r="K304" s="1083"/>
      <c r="L304" s="932"/>
      <c r="P304"/>
      <c r="Q304"/>
      <c r="R304"/>
      <c r="S304"/>
      <c r="T304"/>
      <c r="U304"/>
      <c r="V304"/>
      <c r="W304"/>
      <c r="X304"/>
    </row>
    <row r="305" spans="1:24" s="106" customFormat="1" ht="15.75" hidden="1" customHeight="1" outlineLevel="1">
      <c r="A305" s="932"/>
      <c r="B305" s="1086"/>
      <c r="C305" s="1095"/>
      <c r="D305" s="1091"/>
      <c r="E305" s="1091"/>
      <c r="F305" s="1093"/>
      <c r="G305" s="98"/>
      <c r="H305" s="93"/>
      <c r="I305" s="1091"/>
      <c r="J305" s="1084"/>
      <c r="K305" s="1084"/>
      <c r="L305" s="932"/>
      <c r="P305"/>
      <c r="Q305"/>
      <c r="R305"/>
      <c r="S305"/>
      <c r="T305"/>
      <c r="U305"/>
      <c r="V305"/>
      <c r="W305"/>
      <c r="X305"/>
    </row>
    <row r="306" spans="1:24" s="106" customFormat="1" ht="15.75" hidden="1" customHeight="1" outlineLevel="1">
      <c r="A306" s="932"/>
      <c r="B306" s="1087"/>
      <c r="C306" s="1096"/>
      <c r="D306" s="1092"/>
      <c r="E306" s="1092"/>
      <c r="F306" s="1094"/>
      <c r="G306" s="103"/>
      <c r="H306" s="101"/>
      <c r="I306" s="1092"/>
      <c r="J306" s="1085"/>
      <c r="K306" s="1085"/>
      <c r="L306" s="932"/>
      <c r="P306"/>
      <c r="Q306"/>
      <c r="R306"/>
      <c r="S306"/>
      <c r="T306"/>
      <c r="U306"/>
      <c r="V306"/>
      <c r="W306"/>
      <c r="X306"/>
    </row>
    <row r="307" spans="1:24" s="106" customFormat="1" ht="15.75" hidden="1" customHeight="1" outlineLevel="1">
      <c r="A307" s="932"/>
      <c r="B307" s="1086">
        <v>99</v>
      </c>
      <c r="C307" s="1095"/>
      <c r="D307" s="1091"/>
      <c r="E307" s="1091" t="s">
        <v>20</v>
      </c>
      <c r="F307" s="1093" t="str">
        <f>VLOOKUP(E307,$N$13:$O$17,2,0)</f>
        <v>-</v>
      </c>
      <c r="G307" s="95"/>
      <c r="H307" s="93"/>
      <c r="I307" s="1091"/>
      <c r="J307" s="1083"/>
      <c r="K307" s="1083"/>
      <c r="L307" s="932"/>
      <c r="P307"/>
      <c r="Q307"/>
      <c r="R307"/>
      <c r="S307"/>
      <c r="T307"/>
      <c r="U307"/>
      <c r="V307"/>
      <c r="W307"/>
      <c r="X307"/>
    </row>
    <row r="308" spans="1:24" s="106" customFormat="1" ht="15.75" hidden="1" customHeight="1" outlineLevel="1">
      <c r="A308" s="932"/>
      <c r="B308" s="1086"/>
      <c r="C308" s="1095"/>
      <c r="D308" s="1091"/>
      <c r="E308" s="1091"/>
      <c r="F308" s="1093"/>
      <c r="G308" s="98"/>
      <c r="H308" s="93"/>
      <c r="I308" s="1091"/>
      <c r="J308" s="1084"/>
      <c r="K308" s="1084"/>
      <c r="L308" s="932"/>
      <c r="P308"/>
      <c r="Q308"/>
      <c r="R308"/>
      <c r="S308"/>
      <c r="T308"/>
      <c r="U308"/>
      <c r="V308"/>
      <c r="W308"/>
      <c r="X308"/>
    </row>
    <row r="309" spans="1:24" s="106" customFormat="1" ht="15.75" hidden="1" customHeight="1" outlineLevel="1">
      <c r="A309" s="932"/>
      <c r="B309" s="1087"/>
      <c r="C309" s="1096"/>
      <c r="D309" s="1092"/>
      <c r="E309" s="1092"/>
      <c r="F309" s="1094"/>
      <c r="G309" s="103"/>
      <c r="H309" s="101"/>
      <c r="I309" s="1092"/>
      <c r="J309" s="1085"/>
      <c r="K309" s="1085"/>
      <c r="L309" s="932"/>
      <c r="P309"/>
      <c r="Q309"/>
      <c r="R309"/>
      <c r="S309"/>
      <c r="T309"/>
      <c r="U309"/>
      <c r="V309"/>
      <c r="W309"/>
      <c r="X309"/>
    </row>
    <row r="310" spans="1:24" s="106" customFormat="1" ht="15.75" hidden="1" customHeight="1" outlineLevel="1">
      <c r="A310" s="932"/>
      <c r="B310" s="1086">
        <v>100</v>
      </c>
      <c r="C310" s="1095"/>
      <c r="D310" s="1091"/>
      <c r="E310" s="1091" t="s">
        <v>20</v>
      </c>
      <c r="F310" s="1093" t="str">
        <f>VLOOKUP(E310,$N$13:$O$17,2,0)</f>
        <v>-</v>
      </c>
      <c r="G310" s="95"/>
      <c r="H310" s="93"/>
      <c r="I310" s="1091"/>
      <c r="J310" s="1083"/>
      <c r="K310" s="1083"/>
      <c r="L310" s="932"/>
      <c r="P310"/>
      <c r="Q310"/>
      <c r="R310"/>
      <c r="S310"/>
      <c r="T310"/>
      <c r="U310"/>
      <c r="V310"/>
      <c r="W310"/>
      <c r="X310"/>
    </row>
    <row r="311" spans="1:24" s="106" customFormat="1" ht="15.75" hidden="1" customHeight="1" outlineLevel="1">
      <c r="A311" s="932"/>
      <c r="B311" s="1086"/>
      <c r="C311" s="1095"/>
      <c r="D311" s="1091"/>
      <c r="E311" s="1091"/>
      <c r="F311" s="1093"/>
      <c r="G311" s="98"/>
      <c r="H311" s="93"/>
      <c r="I311" s="1091"/>
      <c r="J311" s="1084"/>
      <c r="K311" s="1084"/>
      <c r="L311" s="932"/>
      <c r="P311"/>
      <c r="Q311"/>
      <c r="R311"/>
      <c r="S311"/>
      <c r="T311"/>
      <c r="U311"/>
      <c r="V311"/>
      <c r="W311"/>
      <c r="X311"/>
    </row>
    <row r="312" spans="1:24" s="106" customFormat="1" ht="15.75" hidden="1" customHeight="1" outlineLevel="1">
      <c r="A312" s="932"/>
      <c r="B312" s="1087"/>
      <c r="C312" s="1096"/>
      <c r="D312" s="1092"/>
      <c r="E312" s="1092"/>
      <c r="F312" s="1094"/>
      <c r="G312" s="103"/>
      <c r="H312" s="101"/>
      <c r="I312" s="1092"/>
      <c r="J312" s="1085"/>
      <c r="K312" s="1085"/>
      <c r="L312" s="932"/>
      <c r="P312"/>
      <c r="Q312"/>
      <c r="R312"/>
      <c r="S312"/>
      <c r="T312"/>
      <c r="U312"/>
      <c r="V312"/>
      <c r="W312"/>
      <c r="X312"/>
    </row>
    <row r="313" spans="1:24" s="106" customFormat="1" ht="15.75" hidden="1" customHeight="1" outlineLevel="1">
      <c r="A313" s="932"/>
      <c r="B313" s="1086">
        <v>101</v>
      </c>
      <c r="C313" s="1095"/>
      <c r="D313" s="1091"/>
      <c r="E313" s="1091" t="s">
        <v>20</v>
      </c>
      <c r="F313" s="1093" t="str">
        <f>VLOOKUP(E313,$N$13:$O$17,2,0)</f>
        <v>-</v>
      </c>
      <c r="G313" s="95"/>
      <c r="H313" s="93"/>
      <c r="I313" s="1091"/>
      <c r="J313" s="1083"/>
      <c r="K313" s="1083"/>
      <c r="L313" s="932"/>
      <c r="P313"/>
      <c r="Q313"/>
      <c r="R313"/>
      <c r="S313"/>
      <c r="T313"/>
      <c r="U313"/>
      <c r="V313"/>
      <c r="W313"/>
      <c r="X313"/>
    </row>
    <row r="314" spans="1:24" s="106" customFormat="1" ht="15.75" hidden="1" customHeight="1" outlineLevel="1">
      <c r="A314" s="932"/>
      <c r="B314" s="1086"/>
      <c r="C314" s="1095"/>
      <c r="D314" s="1091"/>
      <c r="E314" s="1091"/>
      <c r="F314" s="1093"/>
      <c r="G314" s="98"/>
      <c r="H314" s="93"/>
      <c r="I314" s="1091"/>
      <c r="J314" s="1084"/>
      <c r="K314" s="1084"/>
      <c r="L314" s="932"/>
      <c r="P314"/>
      <c r="Q314"/>
      <c r="R314"/>
      <c r="S314"/>
      <c r="T314"/>
      <c r="U314"/>
      <c r="V314"/>
      <c r="W314"/>
      <c r="X314"/>
    </row>
    <row r="315" spans="1:24" s="106" customFormat="1" ht="15.75" hidden="1" customHeight="1" outlineLevel="1">
      <c r="A315" s="932"/>
      <c r="B315" s="1087"/>
      <c r="C315" s="1096"/>
      <c r="D315" s="1092"/>
      <c r="E315" s="1092"/>
      <c r="F315" s="1094"/>
      <c r="G315" s="103"/>
      <c r="H315" s="101"/>
      <c r="I315" s="1092"/>
      <c r="J315" s="1085"/>
      <c r="K315" s="1085"/>
      <c r="L315" s="932"/>
      <c r="P315"/>
      <c r="Q315"/>
      <c r="R315"/>
      <c r="S315"/>
      <c r="T315"/>
      <c r="U315"/>
      <c r="V315"/>
      <c r="W315"/>
      <c r="X315"/>
    </row>
    <row r="316" spans="1:24" s="106" customFormat="1" ht="15.75" hidden="1" customHeight="1" outlineLevel="1">
      <c r="A316" s="932"/>
      <c r="B316" s="1086">
        <v>102</v>
      </c>
      <c r="C316" s="1095"/>
      <c r="D316" s="1091"/>
      <c r="E316" s="1091" t="s">
        <v>20</v>
      </c>
      <c r="F316" s="1093" t="str">
        <f>VLOOKUP(E316,$N$13:$O$17,2,0)</f>
        <v>-</v>
      </c>
      <c r="G316" s="95"/>
      <c r="H316" s="93"/>
      <c r="I316" s="1091"/>
      <c r="J316" s="1083"/>
      <c r="K316" s="1083"/>
      <c r="L316" s="932"/>
      <c r="P316"/>
      <c r="Q316"/>
      <c r="R316"/>
      <c r="S316"/>
      <c r="T316"/>
      <c r="U316"/>
      <c r="V316"/>
      <c r="W316"/>
      <c r="X316"/>
    </row>
    <row r="317" spans="1:24" s="106" customFormat="1" ht="15.75" hidden="1" customHeight="1" outlineLevel="1">
      <c r="A317" s="932"/>
      <c r="B317" s="1086"/>
      <c r="C317" s="1095"/>
      <c r="D317" s="1091"/>
      <c r="E317" s="1091"/>
      <c r="F317" s="1093"/>
      <c r="G317" s="98"/>
      <c r="H317" s="93"/>
      <c r="I317" s="1091"/>
      <c r="J317" s="1084"/>
      <c r="K317" s="1084"/>
      <c r="L317" s="932"/>
      <c r="P317"/>
      <c r="Q317"/>
      <c r="R317"/>
      <c r="S317"/>
      <c r="T317"/>
      <c r="U317"/>
      <c r="V317"/>
      <c r="W317"/>
      <c r="X317"/>
    </row>
    <row r="318" spans="1:24" s="106" customFormat="1" ht="15.75" hidden="1" customHeight="1" outlineLevel="1">
      <c r="A318" s="932"/>
      <c r="B318" s="1087"/>
      <c r="C318" s="1096"/>
      <c r="D318" s="1092"/>
      <c r="E318" s="1092"/>
      <c r="F318" s="1094"/>
      <c r="G318" s="103"/>
      <c r="H318" s="101"/>
      <c r="I318" s="1092"/>
      <c r="J318" s="1085"/>
      <c r="K318" s="1085"/>
      <c r="L318" s="932"/>
      <c r="P318"/>
      <c r="Q318"/>
      <c r="R318"/>
      <c r="S318"/>
      <c r="T318"/>
      <c r="U318"/>
      <c r="V318"/>
      <c r="W318"/>
      <c r="X318"/>
    </row>
    <row r="319" spans="1:24" s="106" customFormat="1" ht="15.75" hidden="1" customHeight="1" outlineLevel="1">
      <c r="A319" s="932"/>
      <c r="B319" s="1086">
        <v>103</v>
      </c>
      <c r="C319" s="1095"/>
      <c r="D319" s="1091"/>
      <c r="E319" s="1091" t="s">
        <v>20</v>
      </c>
      <c r="F319" s="1093" t="str">
        <f>VLOOKUP(E319,$N$13:$O$17,2,0)</f>
        <v>-</v>
      </c>
      <c r="G319" s="95"/>
      <c r="H319" s="93"/>
      <c r="I319" s="1091"/>
      <c r="J319" s="1083"/>
      <c r="K319" s="1083"/>
      <c r="L319" s="932"/>
      <c r="P319"/>
      <c r="Q319"/>
      <c r="R319"/>
      <c r="S319"/>
      <c r="T319"/>
      <c r="U319"/>
      <c r="V319"/>
      <c r="W319"/>
      <c r="X319"/>
    </row>
    <row r="320" spans="1:24" s="106" customFormat="1" ht="15.75" hidden="1" customHeight="1" outlineLevel="1">
      <c r="A320" s="932"/>
      <c r="B320" s="1086"/>
      <c r="C320" s="1095"/>
      <c r="D320" s="1091"/>
      <c r="E320" s="1091"/>
      <c r="F320" s="1093"/>
      <c r="G320" s="98"/>
      <c r="H320" s="93"/>
      <c r="I320" s="1091"/>
      <c r="J320" s="1084"/>
      <c r="K320" s="1084"/>
      <c r="L320" s="932"/>
      <c r="P320"/>
      <c r="Q320"/>
      <c r="R320"/>
      <c r="S320"/>
      <c r="T320"/>
      <c r="U320"/>
      <c r="V320"/>
      <c r="W320"/>
      <c r="X320"/>
    </row>
    <row r="321" spans="1:24" s="106" customFormat="1" ht="15.75" hidden="1" customHeight="1" outlineLevel="1">
      <c r="A321" s="932"/>
      <c r="B321" s="1087"/>
      <c r="C321" s="1096"/>
      <c r="D321" s="1092"/>
      <c r="E321" s="1092"/>
      <c r="F321" s="1094"/>
      <c r="G321" s="103"/>
      <c r="H321" s="101"/>
      <c r="I321" s="1092"/>
      <c r="J321" s="1085"/>
      <c r="K321" s="1085"/>
      <c r="L321" s="932"/>
      <c r="P321"/>
      <c r="Q321"/>
      <c r="R321"/>
      <c r="S321"/>
      <c r="T321"/>
      <c r="U321"/>
      <c r="V321"/>
      <c r="W321"/>
      <c r="X321"/>
    </row>
    <row r="322" spans="1:24" s="106" customFormat="1" ht="15.75" hidden="1" customHeight="1" outlineLevel="1">
      <c r="A322" s="932"/>
      <c r="B322" s="1086">
        <v>104</v>
      </c>
      <c r="C322" s="1095"/>
      <c r="D322" s="1091"/>
      <c r="E322" s="1091" t="s">
        <v>20</v>
      </c>
      <c r="F322" s="1093" t="str">
        <f>VLOOKUP(E322,$N$13:$O$17,2,0)</f>
        <v>-</v>
      </c>
      <c r="G322" s="95"/>
      <c r="H322" s="93"/>
      <c r="I322" s="1091"/>
      <c r="J322" s="1083"/>
      <c r="K322" s="1083"/>
      <c r="L322" s="932"/>
      <c r="P322"/>
      <c r="Q322"/>
      <c r="R322"/>
      <c r="S322"/>
      <c r="T322"/>
      <c r="U322"/>
      <c r="V322"/>
      <c r="W322"/>
      <c r="X322"/>
    </row>
    <row r="323" spans="1:24" s="106" customFormat="1" ht="15.75" hidden="1" customHeight="1" outlineLevel="1">
      <c r="A323" s="932"/>
      <c r="B323" s="1086"/>
      <c r="C323" s="1095"/>
      <c r="D323" s="1091"/>
      <c r="E323" s="1091"/>
      <c r="F323" s="1093"/>
      <c r="G323" s="98"/>
      <c r="H323" s="93"/>
      <c r="I323" s="1091"/>
      <c r="J323" s="1084"/>
      <c r="K323" s="1084"/>
      <c r="L323" s="932"/>
      <c r="P323"/>
      <c r="Q323"/>
      <c r="R323"/>
      <c r="S323"/>
      <c r="T323"/>
      <c r="U323"/>
      <c r="V323"/>
      <c r="W323"/>
      <c r="X323"/>
    </row>
    <row r="324" spans="1:24" s="106" customFormat="1" ht="15.75" hidden="1" customHeight="1" outlineLevel="1">
      <c r="A324" s="932"/>
      <c r="B324" s="1087"/>
      <c r="C324" s="1096"/>
      <c r="D324" s="1092"/>
      <c r="E324" s="1092"/>
      <c r="F324" s="1094"/>
      <c r="G324" s="103"/>
      <c r="H324" s="101"/>
      <c r="I324" s="1092"/>
      <c r="J324" s="1085"/>
      <c r="K324" s="1085"/>
      <c r="L324" s="932"/>
      <c r="P324"/>
      <c r="Q324"/>
      <c r="R324"/>
      <c r="S324"/>
      <c r="T324"/>
      <c r="U324"/>
      <c r="V324"/>
      <c r="W324"/>
      <c r="X324"/>
    </row>
    <row r="325" spans="1:24" s="106" customFormat="1" ht="15.75" hidden="1" customHeight="1" outlineLevel="1">
      <c r="A325" s="932"/>
      <c r="B325" s="1086">
        <v>105</v>
      </c>
      <c r="C325" s="1095"/>
      <c r="D325" s="1091"/>
      <c r="E325" s="1091" t="s">
        <v>20</v>
      </c>
      <c r="F325" s="1093" t="str">
        <f>VLOOKUP(E325,$N$13:$O$17,2,0)</f>
        <v>-</v>
      </c>
      <c r="G325" s="95"/>
      <c r="H325" s="93"/>
      <c r="I325" s="1091"/>
      <c r="J325" s="1083"/>
      <c r="K325" s="1083"/>
      <c r="L325" s="932"/>
      <c r="P325"/>
      <c r="Q325"/>
      <c r="R325"/>
      <c r="S325"/>
      <c r="T325"/>
      <c r="U325"/>
      <c r="V325"/>
      <c r="W325"/>
      <c r="X325"/>
    </row>
    <row r="326" spans="1:24" s="106" customFormat="1" ht="15.75" hidden="1" customHeight="1" outlineLevel="1">
      <c r="A326" s="932"/>
      <c r="B326" s="1086"/>
      <c r="C326" s="1095"/>
      <c r="D326" s="1091"/>
      <c r="E326" s="1091"/>
      <c r="F326" s="1093"/>
      <c r="G326" s="98"/>
      <c r="H326" s="93"/>
      <c r="I326" s="1091"/>
      <c r="J326" s="1084"/>
      <c r="K326" s="1084"/>
      <c r="L326" s="932"/>
      <c r="P326"/>
      <c r="Q326"/>
      <c r="R326"/>
      <c r="S326"/>
      <c r="T326"/>
      <c r="U326"/>
      <c r="V326"/>
      <c r="W326"/>
      <c r="X326"/>
    </row>
    <row r="327" spans="1:24" s="106" customFormat="1" ht="15.75" hidden="1" customHeight="1" outlineLevel="1">
      <c r="A327" s="932"/>
      <c r="B327" s="1087"/>
      <c r="C327" s="1096"/>
      <c r="D327" s="1092"/>
      <c r="E327" s="1092"/>
      <c r="F327" s="1094"/>
      <c r="G327" s="103"/>
      <c r="H327" s="101"/>
      <c r="I327" s="1092"/>
      <c r="J327" s="1085"/>
      <c r="K327" s="1085"/>
      <c r="L327" s="932"/>
      <c r="P327"/>
      <c r="Q327"/>
      <c r="R327"/>
      <c r="S327"/>
      <c r="T327"/>
      <c r="U327"/>
      <c r="V327"/>
      <c r="W327"/>
      <c r="X327"/>
    </row>
    <row r="328" spans="1:24" s="106" customFormat="1" ht="15.75" hidden="1" customHeight="1" outlineLevel="1">
      <c r="A328" s="932"/>
      <c r="B328" s="1086">
        <v>106</v>
      </c>
      <c r="C328" s="1095"/>
      <c r="D328" s="1091"/>
      <c r="E328" s="1091" t="s">
        <v>20</v>
      </c>
      <c r="F328" s="1093" t="str">
        <f>VLOOKUP(E328,$N$13:$O$17,2,0)</f>
        <v>-</v>
      </c>
      <c r="G328" s="95"/>
      <c r="H328" s="93"/>
      <c r="I328" s="1091"/>
      <c r="J328" s="1083"/>
      <c r="K328" s="1083"/>
      <c r="L328" s="932"/>
      <c r="P328"/>
      <c r="Q328"/>
      <c r="R328"/>
      <c r="S328"/>
      <c r="T328"/>
      <c r="U328"/>
      <c r="V328"/>
      <c r="W328"/>
      <c r="X328"/>
    </row>
    <row r="329" spans="1:24" s="106" customFormat="1" ht="15.75" hidden="1" customHeight="1" outlineLevel="1">
      <c r="A329" s="932"/>
      <c r="B329" s="1086"/>
      <c r="C329" s="1095"/>
      <c r="D329" s="1091"/>
      <c r="E329" s="1091"/>
      <c r="F329" s="1093"/>
      <c r="G329" s="98"/>
      <c r="H329" s="93"/>
      <c r="I329" s="1091"/>
      <c r="J329" s="1084"/>
      <c r="K329" s="1084"/>
      <c r="L329" s="932"/>
      <c r="P329"/>
      <c r="Q329"/>
      <c r="R329"/>
      <c r="S329"/>
      <c r="T329"/>
      <c r="U329"/>
      <c r="V329"/>
      <c r="W329"/>
      <c r="X329"/>
    </row>
    <row r="330" spans="1:24" s="106" customFormat="1" ht="15.75" hidden="1" customHeight="1" outlineLevel="1">
      <c r="A330" s="932"/>
      <c r="B330" s="1087"/>
      <c r="C330" s="1096"/>
      <c r="D330" s="1092"/>
      <c r="E330" s="1092"/>
      <c r="F330" s="1094"/>
      <c r="G330" s="103"/>
      <c r="H330" s="101"/>
      <c r="I330" s="1092"/>
      <c r="J330" s="1085"/>
      <c r="K330" s="1085"/>
      <c r="L330" s="932"/>
      <c r="P330"/>
      <c r="Q330"/>
      <c r="R330"/>
      <c r="S330"/>
      <c r="T330"/>
      <c r="U330"/>
      <c r="V330"/>
      <c r="W330"/>
      <c r="X330"/>
    </row>
    <row r="331" spans="1:24" s="106" customFormat="1" ht="15.75" hidden="1" customHeight="1" outlineLevel="1">
      <c r="A331" s="932"/>
      <c r="B331" s="1086">
        <v>107</v>
      </c>
      <c r="C331" s="1095"/>
      <c r="D331" s="1091"/>
      <c r="E331" s="1091" t="s">
        <v>20</v>
      </c>
      <c r="F331" s="1093" t="str">
        <f>VLOOKUP(E331,$N$13:$O$17,2,0)</f>
        <v>-</v>
      </c>
      <c r="G331" s="95"/>
      <c r="H331" s="93"/>
      <c r="I331" s="1091"/>
      <c r="J331" s="1083"/>
      <c r="K331" s="1083"/>
      <c r="L331" s="932"/>
      <c r="P331"/>
      <c r="Q331"/>
      <c r="R331"/>
      <c r="S331"/>
      <c r="T331"/>
      <c r="U331"/>
      <c r="V331"/>
      <c r="W331"/>
      <c r="X331"/>
    </row>
    <row r="332" spans="1:24" s="106" customFormat="1" ht="15.75" hidden="1" customHeight="1" outlineLevel="1">
      <c r="A332" s="932"/>
      <c r="B332" s="1086"/>
      <c r="C332" s="1095"/>
      <c r="D332" s="1091"/>
      <c r="E332" s="1091"/>
      <c r="F332" s="1093"/>
      <c r="G332" s="98"/>
      <c r="H332" s="93"/>
      <c r="I332" s="1091"/>
      <c r="J332" s="1084"/>
      <c r="K332" s="1084"/>
      <c r="L332" s="932"/>
      <c r="P332"/>
      <c r="Q332"/>
      <c r="R332"/>
      <c r="S332"/>
      <c r="T332"/>
      <c r="U332"/>
      <c r="V332"/>
      <c r="W332"/>
      <c r="X332"/>
    </row>
    <row r="333" spans="1:24" s="106" customFormat="1" ht="15.75" hidden="1" customHeight="1" outlineLevel="1">
      <c r="A333" s="932"/>
      <c r="B333" s="1087"/>
      <c r="C333" s="1096"/>
      <c r="D333" s="1092"/>
      <c r="E333" s="1092"/>
      <c r="F333" s="1094"/>
      <c r="G333" s="103"/>
      <c r="H333" s="101"/>
      <c r="I333" s="1092"/>
      <c r="J333" s="1085"/>
      <c r="K333" s="1085"/>
      <c r="L333" s="932"/>
      <c r="P333"/>
      <c r="Q333"/>
      <c r="R333"/>
      <c r="S333"/>
      <c r="T333"/>
      <c r="U333"/>
      <c r="V333"/>
      <c r="W333"/>
      <c r="X333"/>
    </row>
    <row r="334" spans="1:24" s="106" customFormat="1" ht="15.75" hidden="1" customHeight="1" outlineLevel="1">
      <c r="A334" s="932"/>
      <c r="B334" s="1086">
        <v>108</v>
      </c>
      <c r="C334" s="1095"/>
      <c r="D334" s="1091"/>
      <c r="E334" s="1091" t="s">
        <v>20</v>
      </c>
      <c r="F334" s="1093" t="str">
        <f>VLOOKUP(E334,$N$13:$O$17,2,0)</f>
        <v>-</v>
      </c>
      <c r="G334" s="95"/>
      <c r="H334" s="93"/>
      <c r="I334" s="1091"/>
      <c r="J334" s="1083"/>
      <c r="K334" s="1083"/>
      <c r="L334" s="932"/>
      <c r="P334"/>
      <c r="Q334"/>
      <c r="R334"/>
      <c r="S334"/>
      <c r="T334"/>
      <c r="U334"/>
      <c r="V334"/>
      <c r="W334"/>
      <c r="X334"/>
    </row>
    <row r="335" spans="1:24" s="106" customFormat="1" ht="15.75" hidden="1" customHeight="1" outlineLevel="1">
      <c r="A335" s="932"/>
      <c r="B335" s="1086"/>
      <c r="C335" s="1095"/>
      <c r="D335" s="1091"/>
      <c r="E335" s="1091"/>
      <c r="F335" s="1093"/>
      <c r="G335" s="98"/>
      <c r="H335" s="93"/>
      <c r="I335" s="1091"/>
      <c r="J335" s="1084"/>
      <c r="K335" s="1084"/>
      <c r="L335" s="932"/>
      <c r="P335"/>
      <c r="Q335"/>
      <c r="R335"/>
      <c r="S335"/>
      <c r="T335"/>
      <c r="U335"/>
      <c r="V335"/>
      <c r="W335"/>
      <c r="X335"/>
    </row>
    <row r="336" spans="1:24" s="106" customFormat="1" ht="15.75" hidden="1" customHeight="1" outlineLevel="1">
      <c r="A336" s="932"/>
      <c r="B336" s="1087"/>
      <c r="C336" s="1096"/>
      <c r="D336" s="1092"/>
      <c r="E336" s="1092"/>
      <c r="F336" s="1094"/>
      <c r="G336" s="103"/>
      <c r="H336" s="101"/>
      <c r="I336" s="1092"/>
      <c r="J336" s="1085"/>
      <c r="K336" s="1085"/>
      <c r="L336" s="932"/>
      <c r="P336"/>
      <c r="Q336"/>
      <c r="R336"/>
      <c r="S336"/>
      <c r="T336"/>
      <c r="U336"/>
      <c r="V336"/>
      <c r="W336"/>
      <c r="X336"/>
    </row>
    <row r="337" spans="1:24" s="106" customFormat="1" ht="15.75" hidden="1" customHeight="1" outlineLevel="1">
      <c r="A337" s="932"/>
      <c r="B337" s="1086">
        <v>109</v>
      </c>
      <c r="C337" s="1095"/>
      <c r="D337" s="1091"/>
      <c r="E337" s="1091" t="s">
        <v>20</v>
      </c>
      <c r="F337" s="1093" t="str">
        <f>VLOOKUP(E337,$N$13:$O$17,2,0)</f>
        <v>-</v>
      </c>
      <c r="G337" s="95"/>
      <c r="H337" s="93"/>
      <c r="I337" s="1091"/>
      <c r="J337" s="1083"/>
      <c r="K337" s="1083"/>
      <c r="L337" s="932"/>
      <c r="P337"/>
      <c r="Q337"/>
      <c r="R337"/>
      <c r="S337"/>
      <c r="T337"/>
      <c r="U337"/>
      <c r="V337"/>
      <c r="W337"/>
      <c r="X337"/>
    </row>
    <row r="338" spans="1:24" s="106" customFormat="1" ht="15.75" hidden="1" customHeight="1" outlineLevel="1">
      <c r="A338" s="932"/>
      <c r="B338" s="1086"/>
      <c r="C338" s="1095"/>
      <c r="D338" s="1091"/>
      <c r="E338" s="1091"/>
      <c r="F338" s="1093"/>
      <c r="G338" s="98"/>
      <c r="H338" s="93"/>
      <c r="I338" s="1091"/>
      <c r="J338" s="1084"/>
      <c r="K338" s="1084"/>
      <c r="L338" s="932"/>
      <c r="P338"/>
      <c r="Q338"/>
      <c r="R338"/>
      <c r="S338"/>
      <c r="T338"/>
      <c r="U338"/>
      <c r="V338"/>
      <c r="W338"/>
      <c r="X338"/>
    </row>
    <row r="339" spans="1:24" s="106" customFormat="1" ht="15.75" hidden="1" customHeight="1" outlineLevel="1">
      <c r="A339" s="932"/>
      <c r="B339" s="1087"/>
      <c r="C339" s="1096"/>
      <c r="D339" s="1092"/>
      <c r="E339" s="1092"/>
      <c r="F339" s="1094"/>
      <c r="G339" s="103"/>
      <c r="H339" s="101"/>
      <c r="I339" s="1092"/>
      <c r="J339" s="1085"/>
      <c r="K339" s="1085"/>
      <c r="L339" s="932"/>
      <c r="P339"/>
      <c r="Q339"/>
      <c r="R339"/>
      <c r="S339"/>
      <c r="T339"/>
      <c r="U339"/>
      <c r="V339"/>
      <c r="W339"/>
      <c r="X339"/>
    </row>
    <row r="340" spans="1:24" s="106" customFormat="1" ht="15.75" hidden="1" customHeight="1" outlineLevel="1">
      <c r="A340" s="932"/>
      <c r="B340" s="1086">
        <v>110</v>
      </c>
      <c r="C340" s="1095"/>
      <c r="D340" s="1091"/>
      <c r="E340" s="1091" t="s">
        <v>20</v>
      </c>
      <c r="F340" s="1093" t="str">
        <f>VLOOKUP(E340,$N$13:$O$17,2,0)</f>
        <v>-</v>
      </c>
      <c r="G340" s="95"/>
      <c r="H340" s="93"/>
      <c r="I340" s="1091"/>
      <c r="J340" s="1083"/>
      <c r="K340" s="1083"/>
      <c r="L340" s="932"/>
      <c r="P340"/>
      <c r="Q340"/>
      <c r="R340"/>
      <c r="S340"/>
      <c r="T340"/>
      <c r="U340"/>
      <c r="V340"/>
      <c r="W340"/>
      <c r="X340"/>
    </row>
    <row r="341" spans="1:24" s="106" customFormat="1" ht="15.75" hidden="1" customHeight="1" outlineLevel="1">
      <c r="A341" s="932"/>
      <c r="B341" s="1086"/>
      <c r="C341" s="1095"/>
      <c r="D341" s="1091"/>
      <c r="E341" s="1091"/>
      <c r="F341" s="1093"/>
      <c r="G341" s="98"/>
      <c r="H341" s="93"/>
      <c r="I341" s="1091"/>
      <c r="J341" s="1084"/>
      <c r="K341" s="1084"/>
      <c r="L341" s="932"/>
      <c r="P341"/>
      <c r="Q341"/>
      <c r="R341"/>
      <c r="S341"/>
      <c r="T341"/>
      <c r="U341"/>
      <c r="V341"/>
      <c r="W341"/>
      <c r="X341"/>
    </row>
    <row r="342" spans="1:24" s="106" customFormat="1" ht="15.75" hidden="1" customHeight="1" outlineLevel="1">
      <c r="A342" s="932"/>
      <c r="B342" s="1087"/>
      <c r="C342" s="1096"/>
      <c r="D342" s="1092"/>
      <c r="E342" s="1092"/>
      <c r="F342" s="1094"/>
      <c r="G342" s="103"/>
      <c r="H342" s="101"/>
      <c r="I342" s="1092"/>
      <c r="J342" s="1085"/>
      <c r="K342" s="1085"/>
      <c r="L342" s="932"/>
      <c r="P342"/>
      <c r="Q342"/>
      <c r="R342"/>
      <c r="S342"/>
      <c r="T342"/>
      <c r="U342"/>
      <c r="V342"/>
      <c r="W342"/>
      <c r="X342"/>
    </row>
    <row r="343" spans="1:24" s="106" customFormat="1" ht="15.75" hidden="1" customHeight="1" outlineLevel="1">
      <c r="A343" s="932"/>
      <c r="B343" s="1086">
        <v>111</v>
      </c>
      <c r="C343" s="1095"/>
      <c r="D343" s="1091"/>
      <c r="E343" s="1091" t="s">
        <v>20</v>
      </c>
      <c r="F343" s="1093" t="str">
        <f>VLOOKUP(E343,$N$13:$O$17,2,0)</f>
        <v>-</v>
      </c>
      <c r="G343" s="95"/>
      <c r="H343" s="93"/>
      <c r="I343" s="1091"/>
      <c r="J343" s="1083"/>
      <c r="K343" s="1083"/>
      <c r="L343" s="932"/>
      <c r="P343"/>
      <c r="Q343"/>
      <c r="R343"/>
      <c r="S343"/>
      <c r="T343"/>
      <c r="U343"/>
      <c r="V343"/>
      <c r="W343"/>
      <c r="X343"/>
    </row>
    <row r="344" spans="1:24" s="106" customFormat="1" ht="15.75" hidden="1" customHeight="1" outlineLevel="1">
      <c r="A344" s="932"/>
      <c r="B344" s="1086"/>
      <c r="C344" s="1095"/>
      <c r="D344" s="1091"/>
      <c r="E344" s="1091"/>
      <c r="F344" s="1093"/>
      <c r="G344" s="98"/>
      <c r="H344" s="93"/>
      <c r="I344" s="1091"/>
      <c r="J344" s="1084"/>
      <c r="K344" s="1084"/>
      <c r="L344" s="932"/>
      <c r="P344"/>
      <c r="Q344"/>
      <c r="R344"/>
      <c r="S344"/>
      <c r="T344"/>
      <c r="U344"/>
      <c r="V344"/>
      <c r="W344"/>
      <c r="X344"/>
    </row>
    <row r="345" spans="1:24" s="106" customFormat="1" ht="15.75" hidden="1" customHeight="1" outlineLevel="1">
      <c r="A345" s="932"/>
      <c r="B345" s="1087"/>
      <c r="C345" s="1096"/>
      <c r="D345" s="1092"/>
      <c r="E345" s="1092"/>
      <c r="F345" s="1094"/>
      <c r="G345" s="103"/>
      <c r="H345" s="101"/>
      <c r="I345" s="1092"/>
      <c r="J345" s="1085"/>
      <c r="K345" s="1085"/>
      <c r="L345" s="932"/>
      <c r="P345"/>
      <c r="Q345"/>
      <c r="R345"/>
      <c r="S345"/>
      <c r="T345"/>
      <c r="U345"/>
      <c r="V345"/>
      <c r="W345"/>
      <c r="X345"/>
    </row>
    <row r="346" spans="1:24" s="106" customFormat="1" ht="15.75" hidden="1" customHeight="1" outlineLevel="1">
      <c r="A346" s="932"/>
      <c r="B346" s="1086">
        <v>112</v>
      </c>
      <c r="C346" s="1095"/>
      <c r="D346" s="1091"/>
      <c r="E346" s="1091" t="s">
        <v>20</v>
      </c>
      <c r="F346" s="1093" t="str">
        <f>VLOOKUP(E346,$N$13:$O$17,2,0)</f>
        <v>-</v>
      </c>
      <c r="G346" s="95"/>
      <c r="H346" s="93"/>
      <c r="I346" s="1091"/>
      <c r="J346" s="1083"/>
      <c r="K346" s="1083"/>
      <c r="L346" s="932"/>
      <c r="P346"/>
      <c r="Q346"/>
      <c r="R346"/>
      <c r="S346"/>
      <c r="T346"/>
      <c r="U346"/>
      <c r="V346"/>
      <c r="W346"/>
      <c r="X346"/>
    </row>
    <row r="347" spans="1:24" s="106" customFormat="1" ht="15.75" hidden="1" customHeight="1" outlineLevel="1">
      <c r="A347" s="932"/>
      <c r="B347" s="1086"/>
      <c r="C347" s="1095"/>
      <c r="D347" s="1091"/>
      <c r="E347" s="1091"/>
      <c r="F347" s="1093"/>
      <c r="G347" s="98"/>
      <c r="H347" s="93"/>
      <c r="I347" s="1091"/>
      <c r="J347" s="1084"/>
      <c r="K347" s="1084"/>
      <c r="L347" s="932"/>
      <c r="P347"/>
      <c r="Q347"/>
      <c r="R347"/>
      <c r="S347"/>
      <c r="T347"/>
      <c r="U347"/>
      <c r="V347"/>
      <c r="W347"/>
      <c r="X347"/>
    </row>
    <row r="348" spans="1:24" s="106" customFormat="1" ht="15.75" hidden="1" customHeight="1" outlineLevel="1">
      <c r="A348" s="932"/>
      <c r="B348" s="1087"/>
      <c r="C348" s="1096"/>
      <c r="D348" s="1092"/>
      <c r="E348" s="1092"/>
      <c r="F348" s="1094"/>
      <c r="G348" s="103"/>
      <c r="H348" s="101"/>
      <c r="I348" s="1092"/>
      <c r="J348" s="1085"/>
      <c r="K348" s="1085"/>
      <c r="L348" s="932"/>
      <c r="P348"/>
      <c r="Q348"/>
      <c r="R348"/>
      <c r="S348"/>
      <c r="T348"/>
      <c r="U348"/>
      <c r="V348"/>
      <c r="W348"/>
      <c r="X348"/>
    </row>
    <row r="349" spans="1:24" s="106" customFormat="1" ht="15.75" hidden="1" customHeight="1" outlineLevel="1">
      <c r="A349" s="932"/>
      <c r="B349" s="1086">
        <v>113</v>
      </c>
      <c r="C349" s="1095"/>
      <c r="D349" s="1091"/>
      <c r="E349" s="1091" t="s">
        <v>20</v>
      </c>
      <c r="F349" s="1093" t="str">
        <f>VLOOKUP(E349,$N$13:$O$17,2,0)</f>
        <v>-</v>
      </c>
      <c r="G349" s="95"/>
      <c r="H349" s="93"/>
      <c r="I349" s="1091"/>
      <c r="J349" s="1083"/>
      <c r="K349" s="1083"/>
      <c r="L349" s="932"/>
      <c r="P349"/>
      <c r="Q349"/>
      <c r="R349"/>
      <c r="S349"/>
      <c r="T349"/>
      <c r="U349"/>
      <c r="V349"/>
      <c r="W349"/>
      <c r="X349"/>
    </row>
    <row r="350" spans="1:24" s="106" customFormat="1" ht="15.75" hidden="1" customHeight="1" outlineLevel="1">
      <c r="A350" s="932"/>
      <c r="B350" s="1086"/>
      <c r="C350" s="1095"/>
      <c r="D350" s="1091"/>
      <c r="E350" s="1091"/>
      <c r="F350" s="1093"/>
      <c r="G350" s="98"/>
      <c r="H350" s="93"/>
      <c r="I350" s="1091"/>
      <c r="J350" s="1084"/>
      <c r="K350" s="1084"/>
      <c r="L350" s="932"/>
      <c r="P350"/>
      <c r="Q350"/>
      <c r="R350"/>
      <c r="S350"/>
      <c r="T350"/>
      <c r="U350"/>
      <c r="V350"/>
      <c r="W350"/>
      <c r="X350"/>
    </row>
    <row r="351" spans="1:24" s="106" customFormat="1" ht="15.75" hidden="1" customHeight="1" outlineLevel="1">
      <c r="A351" s="932"/>
      <c r="B351" s="1087"/>
      <c r="C351" s="1096"/>
      <c r="D351" s="1092"/>
      <c r="E351" s="1092"/>
      <c r="F351" s="1094"/>
      <c r="G351" s="103"/>
      <c r="H351" s="101"/>
      <c r="I351" s="1092"/>
      <c r="J351" s="1085"/>
      <c r="K351" s="1085"/>
      <c r="L351" s="932"/>
      <c r="P351"/>
      <c r="Q351"/>
      <c r="R351"/>
      <c r="S351"/>
      <c r="T351"/>
      <c r="U351"/>
      <c r="V351"/>
      <c r="W351"/>
      <c r="X351"/>
    </row>
    <row r="352" spans="1:24" s="106" customFormat="1" ht="15.75" hidden="1" customHeight="1" outlineLevel="1">
      <c r="A352" s="932"/>
      <c r="B352" s="1086">
        <v>114</v>
      </c>
      <c r="C352" s="1095"/>
      <c r="D352" s="1091"/>
      <c r="E352" s="1091" t="s">
        <v>20</v>
      </c>
      <c r="F352" s="1093" t="str">
        <f>VLOOKUP(E352,$N$13:$O$17,2,0)</f>
        <v>-</v>
      </c>
      <c r="G352" s="95"/>
      <c r="H352" s="93"/>
      <c r="I352" s="1091"/>
      <c r="J352" s="1083"/>
      <c r="K352" s="1083"/>
      <c r="L352" s="932"/>
      <c r="P352"/>
      <c r="Q352"/>
      <c r="R352"/>
      <c r="S352"/>
      <c r="T352"/>
      <c r="U352"/>
      <c r="V352"/>
      <c r="W352"/>
      <c r="X352"/>
    </row>
    <row r="353" spans="1:24" s="106" customFormat="1" ht="15.75" hidden="1" customHeight="1" outlineLevel="1">
      <c r="A353" s="932"/>
      <c r="B353" s="1086"/>
      <c r="C353" s="1095"/>
      <c r="D353" s="1091"/>
      <c r="E353" s="1091"/>
      <c r="F353" s="1093"/>
      <c r="G353" s="98"/>
      <c r="H353" s="93"/>
      <c r="I353" s="1091"/>
      <c r="J353" s="1084"/>
      <c r="K353" s="1084"/>
      <c r="L353" s="932"/>
      <c r="P353"/>
      <c r="Q353"/>
      <c r="R353"/>
      <c r="S353"/>
      <c r="T353"/>
      <c r="U353"/>
      <c r="V353"/>
      <c r="W353"/>
      <c r="X353"/>
    </row>
    <row r="354" spans="1:24" s="106" customFormat="1" ht="15.75" hidden="1" customHeight="1" outlineLevel="1">
      <c r="A354" s="932"/>
      <c r="B354" s="1087"/>
      <c r="C354" s="1096"/>
      <c r="D354" s="1092"/>
      <c r="E354" s="1092"/>
      <c r="F354" s="1094"/>
      <c r="G354" s="103"/>
      <c r="H354" s="101"/>
      <c r="I354" s="1092"/>
      <c r="J354" s="1085"/>
      <c r="K354" s="1085"/>
      <c r="L354" s="932"/>
      <c r="P354"/>
      <c r="Q354"/>
      <c r="R354"/>
      <c r="S354"/>
      <c r="T354"/>
      <c r="U354"/>
      <c r="V354"/>
      <c r="W354"/>
      <c r="X354"/>
    </row>
    <row r="355" spans="1:24" s="106" customFormat="1" ht="15.75" hidden="1" customHeight="1" outlineLevel="1">
      <c r="A355" s="932"/>
      <c r="B355" s="1086">
        <v>115</v>
      </c>
      <c r="C355" s="1095"/>
      <c r="D355" s="1091"/>
      <c r="E355" s="1091" t="s">
        <v>20</v>
      </c>
      <c r="F355" s="1093" t="str">
        <f>VLOOKUP(E355,$N$13:$O$17,2,0)</f>
        <v>-</v>
      </c>
      <c r="G355" s="95"/>
      <c r="H355" s="93"/>
      <c r="I355" s="1091"/>
      <c r="J355" s="1083"/>
      <c r="K355" s="1083"/>
      <c r="L355" s="932"/>
      <c r="P355"/>
      <c r="Q355"/>
      <c r="R355"/>
      <c r="S355"/>
      <c r="T355"/>
      <c r="U355"/>
      <c r="V355"/>
      <c r="W355"/>
      <c r="X355"/>
    </row>
    <row r="356" spans="1:24" s="106" customFormat="1" ht="15.75" hidden="1" customHeight="1" outlineLevel="1">
      <c r="A356" s="932"/>
      <c r="B356" s="1086"/>
      <c r="C356" s="1095"/>
      <c r="D356" s="1091"/>
      <c r="E356" s="1091"/>
      <c r="F356" s="1093"/>
      <c r="G356" s="98"/>
      <c r="H356" s="93"/>
      <c r="I356" s="1091"/>
      <c r="J356" s="1084"/>
      <c r="K356" s="1084"/>
      <c r="L356" s="932"/>
      <c r="P356"/>
      <c r="Q356"/>
      <c r="R356"/>
      <c r="S356"/>
      <c r="T356"/>
      <c r="U356"/>
      <c r="V356"/>
      <c r="W356"/>
      <c r="X356"/>
    </row>
    <row r="357" spans="1:24" s="106" customFormat="1" ht="15.75" hidden="1" customHeight="1" outlineLevel="1">
      <c r="A357" s="932"/>
      <c r="B357" s="1087"/>
      <c r="C357" s="1096"/>
      <c r="D357" s="1092"/>
      <c r="E357" s="1092"/>
      <c r="F357" s="1094"/>
      <c r="G357" s="103"/>
      <c r="H357" s="101"/>
      <c r="I357" s="1092"/>
      <c r="J357" s="1085"/>
      <c r="K357" s="1085"/>
      <c r="L357" s="932"/>
      <c r="P357"/>
      <c r="Q357"/>
      <c r="R357"/>
      <c r="S357"/>
      <c r="T357"/>
      <c r="U357"/>
      <c r="V357"/>
      <c r="W357"/>
      <c r="X357"/>
    </row>
    <row r="358" spans="1:24" s="106" customFormat="1" ht="15.75" hidden="1" customHeight="1" outlineLevel="1">
      <c r="A358" s="932"/>
      <c r="B358" s="1086">
        <v>116</v>
      </c>
      <c r="C358" s="1095"/>
      <c r="D358" s="1091"/>
      <c r="E358" s="1091" t="s">
        <v>20</v>
      </c>
      <c r="F358" s="1093" t="str">
        <f>VLOOKUP(E358,$N$13:$O$17,2,0)</f>
        <v>-</v>
      </c>
      <c r="G358" s="95"/>
      <c r="H358" s="93"/>
      <c r="I358" s="1091"/>
      <c r="J358" s="1083"/>
      <c r="K358" s="1083"/>
      <c r="L358" s="932"/>
      <c r="P358"/>
      <c r="Q358"/>
      <c r="R358"/>
      <c r="S358"/>
      <c r="T358"/>
      <c r="U358"/>
      <c r="V358"/>
      <c r="W358"/>
      <c r="X358"/>
    </row>
    <row r="359" spans="1:24" s="106" customFormat="1" ht="15.75" hidden="1" customHeight="1" outlineLevel="1">
      <c r="A359" s="932"/>
      <c r="B359" s="1086"/>
      <c r="C359" s="1095"/>
      <c r="D359" s="1091"/>
      <c r="E359" s="1091"/>
      <c r="F359" s="1093"/>
      <c r="G359" s="98"/>
      <c r="H359" s="93"/>
      <c r="I359" s="1091"/>
      <c r="J359" s="1084"/>
      <c r="K359" s="1084"/>
      <c r="L359" s="932"/>
      <c r="P359"/>
      <c r="Q359"/>
      <c r="R359"/>
      <c r="S359"/>
      <c r="T359"/>
      <c r="U359"/>
      <c r="V359"/>
      <c r="W359"/>
      <c r="X359"/>
    </row>
    <row r="360" spans="1:24" s="106" customFormat="1" ht="15.75" hidden="1" customHeight="1" outlineLevel="1">
      <c r="A360" s="932"/>
      <c r="B360" s="1087"/>
      <c r="C360" s="1096"/>
      <c r="D360" s="1092"/>
      <c r="E360" s="1092"/>
      <c r="F360" s="1094"/>
      <c r="G360" s="103"/>
      <c r="H360" s="101"/>
      <c r="I360" s="1092"/>
      <c r="J360" s="1085"/>
      <c r="K360" s="1085"/>
      <c r="L360" s="932"/>
      <c r="P360"/>
      <c r="Q360"/>
      <c r="R360"/>
      <c r="S360"/>
      <c r="T360"/>
      <c r="U360"/>
      <c r="V360"/>
      <c r="W360"/>
      <c r="X360"/>
    </row>
    <row r="361" spans="1:24" s="106" customFormat="1" ht="15.75" hidden="1" customHeight="1" outlineLevel="1">
      <c r="A361" s="932"/>
      <c r="B361" s="1086">
        <v>117</v>
      </c>
      <c r="C361" s="1095"/>
      <c r="D361" s="1091"/>
      <c r="E361" s="1091" t="s">
        <v>20</v>
      </c>
      <c r="F361" s="1093" t="str">
        <f>VLOOKUP(E361,$N$13:$O$17,2,0)</f>
        <v>-</v>
      </c>
      <c r="G361" s="95"/>
      <c r="H361" s="93"/>
      <c r="I361" s="1091"/>
      <c r="J361" s="1083"/>
      <c r="K361" s="1083"/>
      <c r="L361" s="932"/>
      <c r="P361"/>
      <c r="Q361"/>
      <c r="R361"/>
      <c r="S361"/>
      <c r="T361"/>
      <c r="U361"/>
      <c r="V361"/>
      <c r="W361"/>
      <c r="X361"/>
    </row>
    <row r="362" spans="1:24" s="106" customFormat="1" ht="15.75" hidden="1" customHeight="1" outlineLevel="1">
      <c r="A362" s="932"/>
      <c r="B362" s="1086"/>
      <c r="C362" s="1095"/>
      <c r="D362" s="1091"/>
      <c r="E362" s="1091"/>
      <c r="F362" s="1093"/>
      <c r="G362" s="98"/>
      <c r="H362" s="93"/>
      <c r="I362" s="1091"/>
      <c r="J362" s="1084"/>
      <c r="K362" s="1084"/>
      <c r="L362" s="932"/>
      <c r="P362"/>
      <c r="Q362"/>
      <c r="R362"/>
      <c r="S362"/>
      <c r="T362"/>
      <c r="U362"/>
      <c r="V362"/>
      <c r="W362"/>
      <c r="X362"/>
    </row>
    <row r="363" spans="1:24" s="106" customFormat="1" ht="15.75" hidden="1" customHeight="1" outlineLevel="1">
      <c r="A363" s="932"/>
      <c r="B363" s="1087"/>
      <c r="C363" s="1096"/>
      <c r="D363" s="1092"/>
      <c r="E363" s="1092"/>
      <c r="F363" s="1094"/>
      <c r="G363" s="103"/>
      <c r="H363" s="101"/>
      <c r="I363" s="1092"/>
      <c r="J363" s="1085"/>
      <c r="K363" s="1085"/>
      <c r="L363" s="932"/>
      <c r="P363"/>
      <c r="Q363"/>
      <c r="R363"/>
      <c r="S363"/>
      <c r="T363"/>
      <c r="U363"/>
      <c r="V363"/>
      <c r="W363"/>
      <c r="X363"/>
    </row>
    <row r="364" spans="1:24" s="106" customFormat="1" ht="15.75" hidden="1" customHeight="1" outlineLevel="1">
      <c r="A364" s="932"/>
      <c r="B364" s="1086">
        <v>118</v>
      </c>
      <c r="C364" s="1095"/>
      <c r="D364" s="1091"/>
      <c r="E364" s="1091" t="s">
        <v>20</v>
      </c>
      <c r="F364" s="1093" t="str">
        <f>VLOOKUP(E364,$N$13:$O$17,2,0)</f>
        <v>-</v>
      </c>
      <c r="G364" s="95"/>
      <c r="H364" s="93"/>
      <c r="I364" s="1091"/>
      <c r="J364" s="1083"/>
      <c r="K364" s="1083"/>
      <c r="L364" s="932"/>
      <c r="P364"/>
      <c r="Q364"/>
      <c r="R364"/>
      <c r="S364"/>
      <c r="T364"/>
      <c r="U364"/>
      <c r="V364"/>
      <c r="W364"/>
      <c r="X364"/>
    </row>
    <row r="365" spans="1:24" s="106" customFormat="1" ht="15.75" hidden="1" customHeight="1" outlineLevel="1">
      <c r="A365" s="932"/>
      <c r="B365" s="1086"/>
      <c r="C365" s="1095"/>
      <c r="D365" s="1091"/>
      <c r="E365" s="1091"/>
      <c r="F365" s="1093"/>
      <c r="G365" s="98"/>
      <c r="H365" s="93"/>
      <c r="I365" s="1091"/>
      <c r="J365" s="1084"/>
      <c r="K365" s="1084"/>
      <c r="L365" s="932"/>
      <c r="P365"/>
      <c r="Q365"/>
      <c r="R365"/>
      <c r="S365"/>
      <c r="T365"/>
      <c r="U365"/>
      <c r="V365"/>
      <c r="W365"/>
      <c r="X365"/>
    </row>
    <row r="366" spans="1:24" s="106" customFormat="1" ht="15.75" hidden="1" customHeight="1" outlineLevel="1">
      <c r="A366" s="932"/>
      <c r="B366" s="1087"/>
      <c r="C366" s="1096"/>
      <c r="D366" s="1092"/>
      <c r="E366" s="1092"/>
      <c r="F366" s="1094"/>
      <c r="G366" s="103"/>
      <c r="H366" s="101"/>
      <c r="I366" s="1092"/>
      <c r="J366" s="1085"/>
      <c r="K366" s="1085"/>
      <c r="L366" s="932"/>
      <c r="P366"/>
      <c r="Q366"/>
      <c r="R366"/>
      <c r="S366"/>
      <c r="T366"/>
      <c r="U366"/>
      <c r="V366"/>
      <c r="W366"/>
      <c r="X366"/>
    </row>
    <row r="367" spans="1:24" s="106" customFormat="1" ht="15.75" hidden="1" customHeight="1" outlineLevel="1">
      <c r="A367" s="932"/>
      <c r="B367" s="1086">
        <v>119</v>
      </c>
      <c r="C367" s="1095"/>
      <c r="D367" s="1091"/>
      <c r="E367" s="1091" t="s">
        <v>20</v>
      </c>
      <c r="F367" s="1093" t="str">
        <f>VLOOKUP(E367,$N$13:$O$17,2,0)</f>
        <v>-</v>
      </c>
      <c r="G367" s="95"/>
      <c r="H367" s="93"/>
      <c r="I367" s="1091"/>
      <c r="J367" s="1083"/>
      <c r="K367" s="1083"/>
      <c r="L367" s="932"/>
      <c r="P367"/>
      <c r="Q367"/>
      <c r="R367"/>
      <c r="S367"/>
      <c r="T367"/>
      <c r="U367"/>
      <c r="V367"/>
      <c r="W367"/>
      <c r="X367"/>
    </row>
    <row r="368" spans="1:24" s="106" customFormat="1" ht="15.75" hidden="1" customHeight="1" outlineLevel="1">
      <c r="A368" s="932"/>
      <c r="B368" s="1086"/>
      <c r="C368" s="1095"/>
      <c r="D368" s="1091"/>
      <c r="E368" s="1091"/>
      <c r="F368" s="1093"/>
      <c r="G368" s="98"/>
      <c r="H368" s="93"/>
      <c r="I368" s="1091"/>
      <c r="J368" s="1084"/>
      <c r="K368" s="1084"/>
      <c r="L368" s="932"/>
      <c r="P368"/>
      <c r="Q368"/>
      <c r="R368"/>
      <c r="S368"/>
      <c r="T368"/>
      <c r="U368"/>
      <c r="V368"/>
      <c r="W368"/>
      <c r="X368"/>
    </row>
    <row r="369" spans="1:24" s="106" customFormat="1" ht="15.75" hidden="1" customHeight="1" outlineLevel="1">
      <c r="A369" s="932"/>
      <c r="B369" s="1087"/>
      <c r="C369" s="1096"/>
      <c r="D369" s="1092"/>
      <c r="E369" s="1092"/>
      <c r="F369" s="1094"/>
      <c r="G369" s="103"/>
      <c r="H369" s="101"/>
      <c r="I369" s="1092"/>
      <c r="J369" s="1085"/>
      <c r="K369" s="1085"/>
      <c r="L369" s="932"/>
      <c r="P369"/>
      <c r="Q369"/>
      <c r="R369"/>
      <c r="S369"/>
      <c r="T369"/>
      <c r="U369"/>
      <c r="V369"/>
      <c r="W369"/>
      <c r="X369"/>
    </row>
    <row r="370" spans="1:24" s="106" customFormat="1" ht="15.75" hidden="1" customHeight="1" outlineLevel="1">
      <c r="A370" s="932"/>
      <c r="B370" s="1086">
        <v>120</v>
      </c>
      <c r="C370" s="1095"/>
      <c r="D370" s="1091"/>
      <c r="E370" s="1091" t="s">
        <v>20</v>
      </c>
      <c r="F370" s="1093" t="str">
        <f>VLOOKUP(E370,$N$13:$O$17,2,0)</f>
        <v>-</v>
      </c>
      <c r="G370" s="95"/>
      <c r="H370" s="93"/>
      <c r="I370" s="1091"/>
      <c r="J370" s="1083"/>
      <c r="K370" s="1083"/>
      <c r="L370" s="932"/>
      <c r="P370"/>
      <c r="Q370"/>
      <c r="R370"/>
      <c r="S370"/>
      <c r="T370"/>
      <c r="U370"/>
      <c r="V370"/>
      <c r="W370"/>
      <c r="X370"/>
    </row>
    <row r="371" spans="1:24" s="106" customFormat="1" ht="15.75" hidden="1" customHeight="1" outlineLevel="1">
      <c r="A371" s="932"/>
      <c r="B371" s="1086"/>
      <c r="C371" s="1095"/>
      <c r="D371" s="1091"/>
      <c r="E371" s="1091"/>
      <c r="F371" s="1093"/>
      <c r="G371" s="98"/>
      <c r="H371" s="93"/>
      <c r="I371" s="1091"/>
      <c r="J371" s="1084"/>
      <c r="K371" s="1084"/>
      <c r="L371" s="932"/>
      <c r="P371"/>
      <c r="Q371"/>
      <c r="R371"/>
      <c r="S371"/>
      <c r="T371"/>
      <c r="U371"/>
      <c r="V371"/>
      <c r="W371"/>
      <c r="X371"/>
    </row>
    <row r="372" spans="1:24" s="106" customFormat="1" ht="15.75" hidden="1" customHeight="1" outlineLevel="1">
      <c r="A372" s="932"/>
      <c r="B372" s="1087"/>
      <c r="C372" s="1096"/>
      <c r="D372" s="1092"/>
      <c r="E372" s="1092"/>
      <c r="F372" s="1094"/>
      <c r="G372" s="103"/>
      <c r="H372" s="101"/>
      <c r="I372" s="1092"/>
      <c r="J372" s="1085"/>
      <c r="K372" s="1085"/>
      <c r="L372" s="932"/>
      <c r="P372"/>
      <c r="Q372"/>
      <c r="R372"/>
      <c r="S372"/>
      <c r="T372"/>
      <c r="U372"/>
      <c r="V372"/>
      <c r="W372"/>
      <c r="X372"/>
    </row>
    <row r="373" spans="1:24" s="106" customFormat="1" ht="15.75" hidden="1" customHeight="1" outlineLevel="1">
      <c r="A373" s="932"/>
      <c r="B373" s="1086">
        <v>121</v>
      </c>
      <c r="C373" s="1095"/>
      <c r="D373" s="1091"/>
      <c r="E373" s="1091" t="s">
        <v>20</v>
      </c>
      <c r="F373" s="1093" t="str">
        <f>VLOOKUP(E373,$N$13:$O$17,2,0)</f>
        <v>-</v>
      </c>
      <c r="G373" s="95"/>
      <c r="H373" s="93"/>
      <c r="I373" s="1091"/>
      <c r="J373" s="1083"/>
      <c r="K373" s="1083"/>
      <c r="L373" s="932"/>
      <c r="P373"/>
      <c r="Q373"/>
      <c r="R373"/>
      <c r="S373"/>
      <c r="T373"/>
      <c r="U373"/>
      <c r="V373"/>
      <c r="W373"/>
      <c r="X373"/>
    </row>
    <row r="374" spans="1:24" s="106" customFormat="1" ht="15.75" hidden="1" customHeight="1" outlineLevel="1">
      <c r="A374" s="932"/>
      <c r="B374" s="1086"/>
      <c r="C374" s="1095"/>
      <c r="D374" s="1091"/>
      <c r="E374" s="1091"/>
      <c r="F374" s="1093"/>
      <c r="G374" s="98"/>
      <c r="H374" s="93"/>
      <c r="I374" s="1091"/>
      <c r="J374" s="1084"/>
      <c r="K374" s="1084"/>
      <c r="L374" s="932"/>
      <c r="P374"/>
      <c r="Q374"/>
      <c r="R374"/>
      <c r="S374"/>
      <c r="T374"/>
      <c r="U374"/>
      <c r="V374"/>
      <c r="W374"/>
      <c r="X374"/>
    </row>
    <row r="375" spans="1:24" s="106" customFormat="1" ht="15.75" hidden="1" customHeight="1" outlineLevel="1">
      <c r="A375" s="932"/>
      <c r="B375" s="1087"/>
      <c r="C375" s="1096"/>
      <c r="D375" s="1092"/>
      <c r="E375" s="1092"/>
      <c r="F375" s="1094"/>
      <c r="G375" s="103"/>
      <c r="H375" s="101"/>
      <c r="I375" s="1092"/>
      <c r="J375" s="1085"/>
      <c r="K375" s="1085"/>
      <c r="L375" s="932"/>
      <c r="P375"/>
      <c r="Q375"/>
      <c r="R375"/>
      <c r="S375"/>
      <c r="T375"/>
      <c r="U375"/>
      <c r="V375"/>
      <c r="W375"/>
      <c r="X375"/>
    </row>
    <row r="376" spans="1:24" s="106" customFormat="1" ht="15.75" hidden="1" customHeight="1" outlineLevel="1">
      <c r="A376" s="932"/>
      <c r="B376" s="1086">
        <v>122</v>
      </c>
      <c r="C376" s="1095"/>
      <c r="D376" s="1091"/>
      <c r="E376" s="1091" t="s">
        <v>20</v>
      </c>
      <c r="F376" s="1093" t="str">
        <f>VLOOKUP(E376,$N$13:$O$17,2,0)</f>
        <v>-</v>
      </c>
      <c r="G376" s="95"/>
      <c r="H376" s="93"/>
      <c r="I376" s="1091"/>
      <c r="J376" s="1083"/>
      <c r="K376" s="1083"/>
      <c r="L376" s="932"/>
      <c r="P376"/>
      <c r="Q376"/>
      <c r="R376"/>
      <c r="S376"/>
      <c r="T376"/>
      <c r="U376"/>
      <c r="V376"/>
      <c r="W376"/>
      <c r="X376"/>
    </row>
    <row r="377" spans="1:24" s="106" customFormat="1" ht="15.75" hidden="1" customHeight="1" outlineLevel="1">
      <c r="A377" s="932"/>
      <c r="B377" s="1086"/>
      <c r="C377" s="1095"/>
      <c r="D377" s="1091"/>
      <c r="E377" s="1091"/>
      <c r="F377" s="1093"/>
      <c r="G377" s="98"/>
      <c r="H377" s="93"/>
      <c r="I377" s="1091"/>
      <c r="J377" s="1084"/>
      <c r="K377" s="1084"/>
      <c r="L377" s="932"/>
      <c r="P377"/>
      <c r="Q377"/>
      <c r="R377"/>
      <c r="S377"/>
      <c r="T377"/>
      <c r="U377"/>
      <c r="V377"/>
      <c r="W377"/>
      <c r="X377"/>
    </row>
    <row r="378" spans="1:24" s="106" customFormat="1" ht="15.75" hidden="1" customHeight="1" outlineLevel="1">
      <c r="A378" s="932"/>
      <c r="B378" s="1087"/>
      <c r="C378" s="1096"/>
      <c r="D378" s="1092"/>
      <c r="E378" s="1092"/>
      <c r="F378" s="1094"/>
      <c r="G378" s="103"/>
      <c r="H378" s="101"/>
      <c r="I378" s="1092"/>
      <c r="J378" s="1085"/>
      <c r="K378" s="1085"/>
      <c r="L378" s="932"/>
      <c r="P378"/>
      <c r="Q378"/>
      <c r="R378"/>
      <c r="S378"/>
      <c r="T378"/>
      <c r="U378"/>
      <c r="V378"/>
      <c r="W378"/>
      <c r="X378"/>
    </row>
    <row r="379" spans="1:24" s="106" customFormat="1" ht="15.75" hidden="1" customHeight="1" outlineLevel="1">
      <c r="A379" s="932"/>
      <c r="B379" s="1086">
        <v>123</v>
      </c>
      <c r="C379" s="1095"/>
      <c r="D379" s="1091"/>
      <c r="E379" s="1091" t="s">
        <v>20</v>
      </c>
      <c r="F379" s="1093" t="str">
        <f>VLOOKUP(E379,$N$13:$O$17,2,0)</f>
        <v>-</v>
      </c>
      <c r="G379" s="95"/>
      <c r="H379" s="93"/>
      <c r="I379" s="1091"/>
      <c r="J379" s="1083"/>
      <c r="K379" s="1083"/>
      <c r="L379" s="932"/>
      <c r="P379"/>
      <c r="Q379"/>
      <c r="R379"/>
      <c r="S379"/>
      <c r="T379"/>
      <c r="U379"/>
      <c r="V379"/>
      <c r="W379"/>
      <c r="X379"/>
    </row>
    <row r="380" spans="1:24" s="106" customFormat="1" ht="15.75" hidden="1" customHeight="1" outlineLevel="1">
      <c r="A380" s="932"/>
      <c r="B380" s="1086"/>
      <c r="C380" s="1095"/>
      <c r="D380" s="1091"/>
      <c r="E380" s="1091"/>
      <c r="F380" s="1093"/>
      <c r="G380" s="98"/>
      <c r="H380" s="93"/>
      <c r="I380" s="1091"/>
      <c r="J380" s="1084"/>
      <c r="K380" s="1084"/>
      <c r="L380" s="932"/>
      <c r="P380"/>
      <c r="Q380"/>
      <c r="R380"/>
      <c r="S380"/>
      <c r="T380"/>
      <c r="U380"/>
      <c r="V380"/>
      <c r="W380"/>
      <c r="X380"/>
    </row>
    <row r="381" spans="1:24" s="106" customFormat="1" ht="15.75" hidden="1" customHeight="1" outlineLevel="1">
      <c r="A381" s="932"/>
      <c r="B381" s="1087"/>
      <c r="C381" s="1096"/>
      <c r="D381" s="1092"/>
      <c r="E381" s="1092"/>
      <c r="F381" s="1094"/>
      <c r="G381" s="103"/>
      <c r="H381" s="101"/>
      <c r="I381" s="1092"/>
      <c r="J381" s="1085"/>
      <c r="K381" s="1085"/>
      <c r="L381" s="932"/>
      <c r="P381"/>
      <c r="Q381"/>
      <c r="R381"/>
      <c r="S381"/>
      <c r="T381"/>
      <c r="U381"/>
      <c r="V381"/>
      <c r="W381"/>
      <c r="X381"/>
    </row>
    <row r="382" spans="1:24" s="106" customFormat="1" ht="15.75" hidden="1" customHeight="1" outlineLevel="1">
      <c r="A382" s="932"/>
      <c r="B382" s="1086">
        <v>124</v>
      </c>
      <c r="C382" s="1095"/>
      <c r="D382" s="1091"/>
      <c r="E382" s="1091" t="s">
        <v>20</v>
      </c>
      <c r="F382" s="1093" t="str">
        <f>VLOOKUP(E382,$N$13:$O$17,2,0)</f>
        <v>-</v>
      </c>
      <c r="G382" s="95"/>
      <c r="H382" s="93"/>
      <c r="I382" s="1091"/>
      <c r="J382" s="1083"/>
      <c r="K382" s="1083"/>
      <c r="L382" s="932"/>
      <c r="P382"/>
      <c r="Q382"/>
      <c r="R382"/>
      <c r="S382"/>
      <c r="T382"/>
      <c r="U382"/>
      <c r="V382"/>
      <c r="W382"/>
      <c r="X382"/>
    </row>
    <row r="383" spans="1:24" s="106" customFormat="1" ht="15.75" hidden="1" customHeight="1" outlineLevel="1">
      <c r="A383" s="932"/>
      <c r="B383" s="1086"/>
      <c r="C383" s="1095"/>
      <c r="D383" s="1091"/>
      <c r="E383" s="1091"/>
      <c r="F383" s="1093"/>
      <c r="G383" s="98"/>
      <c r="H383" s="93"/>
      <c r="I383" s="1091"/>
      <c r="J383" s="1084"/>
      <c r="K383" s="1084"/>
      <c r="L383" s="932"/>
      <c r="P383"/>
      <c r="Q383"/>
      <c r="R383"/>
      <c r="S383"/>
      <c r="T383"/>
      <c r="U383"/>
      <c r="V383"/>
      <c r="W383"/>
      <c r="X383"/>
    </row>
    <row r="384" spans="1:24" s="106" customFormat="1" ht="15.75" hidden="1" customHeight="1" outlineLevel="1">
      <c r="A384" s="932"/>
      <c r="B384" s="1087"/>
      <c r="C384" s="1096"/>
      <c r="D384" s="1092"/>
      <c r="E384" s="1092"/>
      <c r="F384" s="1094"/>
      <c r="G384" s="103"/>
      <c r="H384" s="101"/>
      <c r="I384" s="1092"/>
      <c r="J384" s="1085"/>
      <c r="K384" s="1085"/>
      <c r="L384" s="932"/>
      <c r="P384"/>
      <c r="Q384"/>
      <c r="R384"/>
      <c r="S384"/>
      <c r="T384"/>
      <c r="U384"/>
      <c r="V384"/>
      <c r="W384"/>
      <c r="X384"/>
    </row>
    <row r="385" spans="1:24" s="106" customFormat="1" ht="15.75" hidden="1" customHeight="1" outlineLevel="1">
      <c r="A385" s="932"/>
      <c r="B385" s="1086">
        <v>125</v>
      </c>
      <c r="C385" s="1095"/>
      <c r="D385" s="1091"/>
      <c r="E385" s="1091" t="s">
        <v>20</v>
      </c>
      <c r="F385" s="1093" t="str">
        <f>VLOOKUP(E385,$N$13:$O$17,2,0)</f>
        <v>-</v>
      </c>
      <c r="G385" s="95"/>
      <c r="H385" s="93"/>
      <c r="I385" s="1091"/>
      <c r="J385" s="1083"/>
      <c r="K385" s="1083"/>
      <c r="L385" s="932"/>
      <c r="P385"/>
      <c r="Q385"/>
      <c r="R385"/>
      <c r="S385"/>
      <c r="T385"/>
      <c r="U385"/>
      <c r="V385"/>
      <c r="W385"/>
      <c r="X385"/>
    </row>
    <row r="386" spans="1:24" s="106" customFormat="1" ht="15.75" hidden="1" customHeight="1" outlineLevel="1">
      <c r="A386" s="932"/>
      <c r="B386" s="1086"/>
      <c r="C386" s="1095"/>
      <c r="D386" s="1091"/>
      <c r="E386" s="1091"/>
      <c r="F386" s="1093"/>
      <c r="G386" s="98"/>
      <c r="H386" s="93"/>
      <c r="I386" s="1091"/>
      <c r="J386" s="1084"/>
      <c r="K386" s="1084"/>
      <c r="L386" s="932"/>
      <c r="P386"/>
      <c r="Q386"/>
      <c r="R386"/>
      <c r="S386"/>
      <c r="T386"/>
      <c r="U386"/>
      <c r="V386"/>
      <c r="W386"/>
      <c r="X386"/>
    </row>
    <row r="387" spans="1:24" s="106" customFormat="1" ht="15.75" hidden="1" customHeight="1" outlineLevel="1">
      <c r="A387" s="932"/>
      <c r="B387" s="1087"/>
      <c r="C387" s="1096"/>
      <c r="D387" s="1092"/>
      <c r="E387" s="1092"/>
      <c r="F387" s="1094"/>
      <c r="G387" s="103"/>
      <c r="H387" s="101"/>
      <c r="I387" s="1092"/>
      <c r="J387" s="1085"/>
      <c r="K387" s="1085"/>
      <c r="L387" s="932"/>
      <c r="P387"/>
      <c r="Q387"/>
      <c r="R387"/>
      <c r="S387"/>
      <c r="T387"/>
      <c r="U387"/>
      <c r="V387"/>
      <c r="W387"/>
      <c r="X387"/>
    </row>
    <row r="388" spans="1:24" s="106" customFormat="1" ht="15.75" hidden="1" customHeight="1" outlineLevel="1">
      <c r="A388" s="932"/>
      <c r="B388" s="1086">
        <v>126</v>
      </c>
      <c r="C388" s="1095"/>
      <c r="D388" s="1091"/>
      <c r="E388" s="1091" t="s">
        <v>20</v>
      </c>
      <c r="F388" s="1093" t="str">
        <f>VLOOKUP(E388,$N$13:$O$17,2,0)</f>
        <v>-</v>
      </c>
      <c r="G388" s="95"/>
      <c r="H388" s="93"/>
      <c r="I388" s="1091"/>
      <c r="J388" s="1083"/>
      <c r="K388" s="1083"/>
      <c r="L388" s="932"/>
      <c r="P388"/>
      <c r="Q388"/>
      <c r="R388"/>
      <c r="S388"/>
      <c r="T388"/>
      <c r="U388"/>
      <c r="V388"/>
      <c r="W388"/>
      <c r="X388"/>
    </row>
    <row r="389" spans="1:24" s="106" customFormat="1" ht="15.75" hidden="1" customHeight="1" outlineLevel="1">
      <c r="A389" s="932"/>
      <c r="B389" s="1086"/>
      <c r="C389" s="1095"/>
      <c r="D389" s="1091"/>
      <c r="E389" s="1091"/>
      <c r="F389" s="1093"/>
      <c r="G389" s="98"/>
      <c r="H389" s="93"/>
      <c r="I389" s="1091"/>
      <c r="J389" s="1084"/>
      <c r="K389" s="1084"/>
      <c r="L389" s="932"/>
      <c r="P389"/>
      <c r="Q389"/>
      <c r="R389"/>
      <c r="S389"/>
      <c r="T389"/>
      <c r="U389"/>
      <c r="V389"/>
      <c r="W389"/>
      <c r="X389"/>
    </row>
    <row r="390" spans="1:24" s="106" customFormat="1" ht="15.75" hidden="1" customHeight="1" outlineLevel="1">
      <c r="A390" s="932"/>
      <c r="B390" s="1087"/>
      <c r="C390" s="1096"/>
      <c r="D390" s="1092"/>
      <c r="E390" s="1092"/>
      <c r="F390" s="1094"/>
      <c r="G390" s="103"/>
      <c r="H390" s="101"/>
      <c r="I390" s="1092"/>
      <c r="J390" s="1085"/>
      <c r="K390" s="1085"/>
      <c r="L390" s="932"/>
      <c r="P390"/>
      <c r="Q390"/>
      <c r="R390"/>
      <c r="S390"/>
      <c r="T390"/>
      <c r="U390"/>
      <c r="V390"/>
      <c r="W390"/>
      <c r="X390"/>
    </row>
    <row r="391" spans="1:24" s="106" customFormat="1" ht="15.75" hidden="1" customHeight="1" outlineLevel="1">
      <c r="A391" s="932"/>
      <c r="B391" s="1086">
        <v>127</v>
      </c>
      <c r="C391" s="1095"/>
      <c r="D391" s="1091"/>
      <c r="E391" s="1091" t="s">
        <v>20</v>
      </c>
      <c r="F391" s="1093" t="str">
        <f>VLOOKUP(E391,$N$13:$O$17,2,0)</f>
        <v>-</v>
      </c>
      <c r="G391" s="95"/>
      <c r="H391" s="93"/>
      <c r="I391" s="1091"/>
      <c r="J391" s="1083"/>
      <c r="K391" s="1083"/>
      <c r="L391" s="932"/>
      <c r="P391"/>
      <c r="Q391"/>
      <c r="R391"/>
      <c r="S391"/>
      <c r="T391"/>
      <c r="U391"/>
      <c r="V391"/>
      <c r="W391"/>
      <c r="X391"/>
    </row>
    <row r="392" spans="1:24" s="106" customFormat="1" ht="15.75" hidden="1" customHeight="1" outlineLevel="1">
      <c r="A392" s="932"/>
      <c r="B392" s="1086"/>
      <c r="C392" s="1095"/>
      <c r="D392" s="1091"/>
      <c r="E392" s="1091"/>
      <c r="F392" s="1093"/>
      <c r="G392" s="98"/>
      <c r="H392" s="93"/>
      <c r="I392" s="1091"/>
      <c r="J392" s="1084"/>
      <c r="K392" s="1084"/>
      <c r="L392" s="932"/>
      <c r="P392"/>
      <c r="Q392"/>
      <c r="R392"/>
      <c r="S392"/>
      <c r="T392"/>
      <c r="U392"/>
      <c r="V392"/>
      <c r="W392"/>
      <c r="X392"/>
    </row>
    <row r="393" spans="1:24" s="106" customFormat="1" ht="15.75" hidden="1" customHeight="1" outlineLevel="1">
      <c r="A393" s="932"/>
      <c r="B393" s="1087"/>
      <c r="C393" s="1096"/>
      <c r="D393" s="1092"/>
      <c r="E393" s="1092"/>
      <c r="F393" s="1094"/>
      <c r="G393" s="103"/>
      <c r="H393" s="101"/>
      <c r="I393" s="1092"/>
      <c r="J393" s="1085"/>
      <c r="K393" s="1085"/>
      <c r="L393" s="932"/>
      <c r="P393"/>
      <c r="Q393"/>
      <c r="R393"/>
      <c r="S393"/>
      <c r="T393"/>
      <c r="U393"/>
      <c r="V393"/>
      <c r="W393"/>
      <c r="X393"/>
    </row>
    <row r="394" spans="1:24" s="106" customFormat="1" ht="15.75" hidden="1" customHeight="1" outlineLevel="1">
      <c r="A394" s="932"/>
      <c r="B394" s="1086">
        <v>128</v>
      </c>
      <c r="C394" s="1095"/>
      <c r="D394" s="1091"/>
      <c r="E394" s="1091" t="s">
        <v>20</v>
      </c>
      <c r="F394" s="1093" t="str">
        <f>VLOOKUP(E394,$N$13:$O$17,2,0)</f>
        <v>-</v>
      </c>
      <c r="G394" s="95"/>
      <c r="H394" s="93"/>
      <c r="I394" s="1091"/>
      <c r="J394" s="1083"/>
      <c r="K394" s="1083"/>
      <c r="L394" s="932"/>
      <c r="P394"/>
      <c r="Q394"/>
      <c r="R394"/>
      <c r="S394"/>
      <c r="T394"/>
      <c r="U394"/>
      <c r="V394"/>
      <c r="W394"/>
      <c r="X394"/>
    </row>
    <row r="395" spans="1:24" s="106" customFormat="1" ht="15.75" hidden="1" customHeight="1" outlineLevel="1">
      <c r="A395" s="932"/>
      <c r="B395" s="1086"/>
      <c r="C395" s="1095"/>
      <c r="D395" s="1091"/>
      <c r="E395" s="1091"/>
      <c r="F395" s="1093"/>
      <c r="G395" s="98"/>
      <c r="H395" s="93"/>
      <c r="I395" s="1091"/>
      <c r="J395" s="1084"/>
      <c r="K395" s="1084"/>
      <c r="L395" s="932"/>
      <c r="P395"/>
      <c r="Q395"/>
      <c r="R395"/>
      <c r="S395"/>
      <c r="T395"/>
      <c r="U395"/>
      <c r="V395"/>
      <c r="W395"/>
      <c r="X395"/>
    </row>
    <row r="396" spans="1:24" s="106" customFormat="1" ht="15.75" hidden="1" customHeight="1" outlineLevel="1">
      <c r="A396" s="932"/>
      <c r="B396" s="1087"/>
      <c r="C396" s="1096"/>
      <c r="D396" s="1092"/>
      <c r="E396" s="1092"/>
      <c r="F396" s="1094"/>
      <c r="G396" s="103"/>
      <c r="H396" s="101"/>
      <c r="I396" s="1092"/>
      <c r="J396" s="1085"/>
      <c r="K396" s="1085"/>
      <c r="L396" s="932"/>
      <c r="P396"/>
      <c r="Q396"/>
      <c r="R396"/>
      <c r="S396"/>
      <c r="T396"/>
      <c r="U396"/>
      <c r="V396"/>
      <c r="W396"/>
      <c r="X396"/>
    </row>
    <row r="397" spans="1:24" s="106" customFormat="1" ht="15.75" hidden="1" customHeight="1" outlineLevel="1">
      <c r="A397" s="932"/>
      <c r="B397" s="1086">
        <v>129</v>
      </c>
      <c r="C397" s="1095"/>
      <c r="D397" s="1091"/>
      <c r="E397" s="1091" t="s">
        <v>20</v>
      </c>
      <c r="F397" s="1093" t="str">
        <f>VLOOKUP(E397,$N$13:$O$17,2,0)</f>
        <v>-</v>
      </c>
      <c r="G397" s="95"/>
      <c r="H397" s="93"/>
      <c r="I397" s="1091"/>
      <c r="J397" s="1083"/>
      <c r="K397" s="1083"/>
      <c r="L397" s="932"/>
      <c r="P397"/>
      <c r="Q397"/>
      <c r="R397"/>
      <c r="S397"/>
      <c r="T397"/>
      <c r="U397"/>
      <c r="V397"/>
      <c r="W397"/>
      <c r="X397"/>
    </row>
    <row r="398" spans="1:24" s="106" customFormat="1" ht="15.75" hidden="1" customHeight="1" outlineLevel="1">
      <c r="A398" s="932"/>
      <c r="B398" s="1086"/>
      <c r="C398" s="1095"/>
      <c r="D398" s="1091"/>
      <c r="E398" s="1091"/>
      <c r="F398" s="1093"/>
      <c r="G398" s="98"/>
      <c r="H398" s="93"/>
      <c r="I398" s="1091"/>
      <c r="J398" s="1084"/>
      <c r="K398" s="1084"/>
      <c r="L398" s="932"/>
      <c r="P398"/>
      <c r="Q398"/>
      <c r="R398"/>
      <c r="S398"/>
      <c r="T398"/>
      <c r="U398"/>
      <c r="V398"/>
      <c r="W398"/>
      <c r="X398"/>
    </row>
    <row r="399" spans="1:24" s="106" customFormat="1" ht="15.75" hidden="1" customHeight="1" outlineLevel="1">
      <c r="A399" s="932"/>
      <c r="B399" s="1087"/>
      <c r="C399" s="1096"/>
      <c r="D399" s="1092"/>
      <c r="E399" s="1092"/>
      <c r="F399" s="1094"/>
      <c r="G399" s="103"/>
      <c r="H399" s="101"/>
      <c r="I399" s="1092"/>
      <c r="J399" s="1085"/>
      <c r="K399" s="1085"/>
      <c r="L399" s="932"/>
      <c r="P399"/>
      <c r="Q399"/>
      <c r="R399"/>
      <c r="S399"/>
      <c r="T399"/>
      <c r="U399"/>
      <c r="V399"/>
      <c r="W399"/>
      <c r="X399"/>
    </row>
    <row r="400" spans="1:24" s="106" customFormat="1" ht="15.75" hidden="1" customHeight="1" outlineLevel="1">
      <c r="A400" s="932"/>
      <c r="B400" s="1086">
        <v>130</v>
      </c>
      <c r="C400" s="1095"/>
      <c r="D400" s="1091"/>
      <c r="E400" s="1091" t="s">
        <v>20</v>
      </c>
      <c r="F400" s="1093" t="str">
        <f>VLOOKUP(E400,$N$13:$O$17,2,0)</f>
        <v>-</v>
      </c>
      <c r="G400" s="95"/>
      <c r="H400" s="93"/>
      <c r="I400" s="1091"/>
      <c r="J400" s="1083"/>
      <c r="K400" s="1083"/>
      <c r="L400" s="932"/>
      <c r="P400"/>
      <c r="Q400"/>
      <c r="R400"/>
      <c r="S400"/>
      <c r="T400"/>
      <c r="U400"/>
      <c r="V400"/>
      <c r="W400"/>
      <c r="X400"/>
    </row>
    <row r="401" spans="1:24" s="106" customFormat="1" ht="15.75" hidden="1" customHeight="1" outlineLevel="1">
      <c r="A401" s="932"/>
      <c r="B401" s="1086"/>
      <c r="C401" s="1095"/>
      <c r="D401" s="1091"/>
      <c r="E401" s="1091"/>
      <c r="F401" s="1093"/>
      <c r="G401" s="98"/>
      <c r="H401" s="93"/>
      <c r="I401" s="1091"/>
      <c r="J401" s="1084"/>
      <c r="K401" s="1084"/>
      <c r="L401" s="932"/>
      <c r="P401"/>
      <c r="Q401"/>
      <c r="R401"/>
      <c r="S401"/>
      <c r="T401"/>
      <c r="U401"/>
      <c r="V401"/>
      <c r="W401"/>
      <c r="X401"/>
    </row>
    <row r="402" spans="1:24" s="106" customFormat="1" ht="15.75" hidden="1" customHeight="1" outlineLevel="1">
      <c r="A402" s="932"/>
      <c r="B402" s="1087"/>
      <c r="C402" s="1096"/>
      <c r="D402" s="1092"/>
      <c r="E402" s="1092"/>
      <c r="F402" s="1094"/>
      <c r="G402" s="103"/>
      <c r="H402" s="101"/>
      <c r="I402" s="1092"/>
      <c r="J402" s="1085"/>
      <c r="K402" s="1085"/>
      <c r="L402" s="932"/>
      <c r="P402"/>
      <c r="Q402"/>
      <c r="R402"/>
      <c r="S402"/>
      <c r="T402"/>
      <c r="U402"/>
      <c r="V402"/>
      <c r="W402"/>
      <c r="X402"/>
    </row>
    <row r="403" spans="1:24" s="106" customFormat="1" ht="15.75" hidden="1" customHeight="1" outlineLevel="1">
      <c r="A403" s="932"/>
      <c r="B403" s="1086">
        <v>131</v>
      </c>
      <c r="C403" s="1095"/>
      <c r="D403" s="1091"/>
      <c r="E403" s="1091" t="s">
        <v>20</v>
      </c>
      <c r="F403" s="1093" t="str">
        <f>VLOOKUP(E403,$N$13:$O$17,2,0)</f>
        <v>-</v>
      </c>
      <c r="G403" s="95"/>
      <c r="H403" s="93"/>
      <c r="I403" s="1091"/>
      <c r="J403" s="1083"/>
      <c r="K403" s="1083"/>
      <c r="L403" s="932"/>
      <c r="P403"/>
      <c r="Q403"/>
      <c r="R403"/>
      <c r="S403"/>
      <c r="T403"/>
      <c r="U403"/>
      <c r="V403"/>
      <c r="W403"/>
      <c r="X403"/>
    </row>
    <row r="404" spans="1:24" s="106" customFormat="1" ht="15.75" hidden="1" customHeight="1" outlineLevel="1">
      <c r="A404" s="932"/>
      <c r="B404" s="1086"/>
      <c r="C404" s="1095"/>
      <c r="D404" s="1091"/>
      <c r="E404" s="1091"/>
      <c r="F404" s="1093"/>
      <c r="G404" s="98"/>
      <c r="H404" s="93"/>
      <c r="I404" s="1091"/>
      <c r="J404" s="1084"/>
      <c r="K404" s="1084"/>
      <c r="L404" s="932"/>
      <c r="P404"/>
      <c r="Q404"/>
      <c r="R404"/>
      <c r="S404"/>
      <c r="T404"/>
      <c r="U404"/>
      <c r="V404"/>
      <c r="W404"/>
      <c r="X404"/>
    </row>
    <row r="405" spans="1:24" s="106" customFormat="1" ht="15.75" hidden="1" customHeight="1" outlineLevel="1">
      <c r="A405" s="932"/>
      <c r="B405" s="1087"/>
      <c r="C405" s="1096"/>
      <c r="D405" s="1092"/>
      <c r="E405" s="1092"/>
      <c r="F405" s="1094"/>
      <c r="G405" s="103"/>
      <c r="H405" s="101"/>
      <c r="I405" s="1092"/>
      <c r="J405" s="1085"/>
      <c r="K405" s="1085"/>
      <c r="L405" s="932"/>
      <c r="P405"/>
      <c r="Q405"/>
      <c r="R405"/>
      <c r="S405"/>
      <c r="T405"/>
      <c r="U405"/>
      <c r="V405"/>
      <c r="W405"/>
      <c r="X405"/>
    </row>
    <row r="406" spans="1:24" s="106" customFormat="1" ht="15.75" hidden="1" customHeight="1" outlineLevel="1">
      <c r="A406" s="932"/>
      <c r="B406" s="1086">
        <v>132</v>
      </c>
      <c r="C406" s="1095"/>
      <c r="D406" s="1091"/>
      <c r="E406" s="1091" t="s">
        <v>20</v>
      </c>
      <c r="F406" s="1093" t="str">
        <f>VLOOKUP(E406,$N$13:$O$17,2,0)</f>
        <v>-</v>
      </c>
      <c r="G406" s="95"/>
      <c r="H406" s="93"/>
      <c r="I406" s="1091"/>
      <c r="J406" s="1083"/>
      <c r="K406" s="1083"/>
      <c r="L406" s="932"/>
      <c r="P406"/>
      <c r="Q406"/>
      <c r="R406"/>
      <c r="S406"/>
      <c r="T406"/>
      <c r="U406"/>
      <c r="V406"/>
      <c r="W406"/>
      <c r="X406"/>
    </row>
    <row r="407" spans="1:24" s="106" customFormat="1" ht="15.75" hidden="1" customHeight="1" outlineLevel="1">
      <c r="A407" s="932"/>
      <c r="B407" s="1086"/>
      <c r="C407" s="1095"/>
      <c r="D407" s="1091"/>
      <c r="E407" s="1091"/>
      <c r="F407" s="1093"/>
      <c r="G407" s="98"/>
      <c r="H407" s="93"/>
      <c r="I407" s="1091"/>
      <c r="J407" s="1084"/>
      <c r="K407" s="1084"/>
      <c r="L407" s="932"/>
      <c r="P407"/>
      <c r="Q407"/>
      <c r="R407"/>
      <c r="S407"/>
      <c r="T407"/>
      <c r="U407"/>
      <c r="V407"/>
      <c r="W407"/>
      <c r="X407"/>
    </row>
    <row r="408" spans="1:24" s="106" customFormat="1" ht="15.75" hidden="1" customHeight="1" outlineLevel="1">
      <c r="A408" s="932"/>
      <c r="B408" s="1087"/>
      <c r="C408" s="1096"/>
      <c r="D408" s="1092"/>
      <c r="E408" s="1092"/>
      <c r="F408" s="1094"/>
      <c r="G408" s="103"/>
      <c r="H408" s="101"/>
      <c r="I408" s="1092"/>
      <c r="J408" s="1085"/>
      <c r="K408" s="1085"/>
      <c r="L408" s="932"/>
      <c r="P408"/>
      <c r="Q408"/>
      <c r="R408"/>
      <c r="S408"/>
      <c r="T408"/>
      <c r="U408"/>
      <c r="V408"/>
      <c r="W408"/>
      <c r="X408"/>
    </row>
    <row r="409" spans="1:24" s="106" customFormat="1" ht="15.75" hidden="1" customHeight="1" outlineLevel="1">
      <c r="A409" s="932"/>
      <c r="B409" s="1086">
        <v>133</v>
      </c>
      <c r="C409" s="1095"/>
      <c r="D409" s="1091"/>
      <c r="E409" s="1091" t="s">
        <v>20</v>
      </c>
      <c r="F409" s="1093" t="str">
        <f>VLOOKUP(E409,$N$13:$O$17,2,0)</f>
        <v>-</v>
      </c>
      <c r="G409" s="95"/>
      <c r="H409" s="93"/>
      <c r="I409" s="1091"/>
      <c r="J409" s="1083"/>
      <c r="K409" s="1083"/>
      <c r="L409" s="932"/>
      <c r="P409"/>
      <c r="Q409"/>
      <c r="R409"/>
      <c r="S409"/>
      <c r="T409"/>
      <c r="U409"/>
      <c r="V409"/>
      <c r="W409"/>
      <c r="X409"/>
    </row>
    <row r="410" spans="1:24" s="106" customFormat="1" ht="15.75" hidden="1" customHeight="1" outlineLevel="1">
      <c r="A410" s="932"/>
      <c r="B410" s="1086"/>
      <c r="C410" s="1095"/>
      <c r="D410" s="1091"/>
      <c r="E410" s="1091"/>
      <c r="F410" s="1093"/>
      <c r="G410" s="98"/>
      <c r="H410" s="93"/>
      <c r="I410" s="1091"/>
      <c r="J410" s="1084"/>
      <c r="K410" s="1084"/>
      <c r="L410" s="932"/>
      <c r="P410"/>
      <c r="Q410"/>
      <c r="R410"/>
      <c r="S410"/>
      <c r="T410"/>
      <c r="U410"/>
      <c r="V410"/>
      <c r="W410"/>
      <c r="X410"/>
    </row>
    <row r="411" spans="1:24" s="106" customFormat="1" ht="15.75" hidden="1" customHeight="1" outlineLevel="1">
      <c r="A411" s="932"/>
      <c r="B411" s="1087"/>
      <c r="C411" s="1096"/>
      <c r="D411" s="1092"/>
      <c r="E411" s="1092"/>
      <c r="F411" s="1094"/>
      <c r="G411" s="103"/>
      <c r="H411" s="101"/>
      <c r="I411" s="1092"/>
      <c r="J411" s="1085"/>
      <c r="K411" s="1085"/>
      <c r="L411" s="932"/>
      <c r="P411"/>
      <c r="Q411"/>
      <c r="R411"/>
      <c r="S411"/>
      <c r="T411"/>
      <c r="U411"/>
      <c r="V411"/>
      <c r="W411"/>
      <c r="X411"/>
    </row>
    <row r="412" spans="1:24" s="106" customFormat="1" ht="15.75" hidden="1" customHeight="1" outlineLevel="1">
      <c r="A412" s="932"/>
      <c r="B412" s="1086">
        <v>134</v>
      </c>
      <c r="C412" s="1095"/>
      <c r="D412" s="1091"/>
      <c r="E412" s="1091" t="s">
        <v>20</v>
      </c>
      <c r="F412" s="1093" t="str">
        <f>VLOOKUP(E412,$N$13:$O$17,2,0)</f>
        <v>-</v>
      </c>
      <c r="G412" s="95"/>
      <c r="H412" s="93"/>
      <c r="I412" s="1091"/>
      <c r="J412" s="1083"/>
      <c r="K412" s="1083"/>
      <c r="L412" s="932"/>
      <c r="P412"/>
      <c r="Q412"/>
      <c r="R412"/>
      <c r="S412"/>
      <c r="T412"/>
      <c r="U412"/>
      <c r="V412"/>
      <c r="W412"/>
      <c r="X412"/>
    </row>
    <row r="413" spans="1:24" s="106" customFormat="1" ht="15.75" hidden="1" customHeight="1" outlineLevel="1">
      <c r="A413" s="932"/>
      <c r="B413" s="1086"/>
      <c r="C413" s="1095"/>
      <c r="D413" s="1091"/>
      <c r="E413" s="1091"/>
      <c r="F413" s="1093"/>
      <c r="G413" s="98"/>
      <c r="H413" s="93"/>
      <c r="I413" s="1091"/>
      <c r="J413" s="1084"/>
      <c r="K413" s="1084"/>
      <c r="L413" s="932"/>
      <c r="P413"/>
      <c r="Q413"/>
      <c r="R413"/>
      <c r="S413"/>
      <c r="T413"/>
      <c r="U413"/>
      <c r="V413"/>
      <c r="W413"/>
      <c r="X413"/>
    </row>
    <row r="414" spans="1:24" s="106" customFormat="1" ht="15.75" hidden="1" customHeight="1" outlineLevel="1">
      <c r="A414" s="932"/>
      <c r="B414" s="1087"/>
      <c r="C414" s="1096"/>
      <c r="D414" s="1092"/>
      <c r="E414" s="1092"/>
      <c r="F414" s="1094"/>
      <c r="G414" s="103"/>
      <c r="H414" s="101"/>
      <c r="I414" s="1092"/>
      <c r="J414" s="1085"/>
      <c r="K414" s="1085"/>
      <c r="L414" s="932"/>
      <c r="P414"/>
      <c r="Q414"/>
      <c r="R414"/>
      <c r="S414"/>
      <c r="T414"/>
      <c r="U414"/>
      <c r="V414"/>
      <c r="W414"/>
      <c r="X414"/>
    </row>
    <row r="415" spans="1:24" s="106" customFormat="1" ht="15.75" hidden="1" customHeight="1" outlineLevel="1">
      <c r="A415" s="932"/>
      <c r="B415" s="1086">
        <v>135</v>
      </c>
      <c r="C415" s="1095"/>
      <c r="D415" s="1091"/>
      <c r="E415" s="1091" t="s">
        <v>20</v>
      </c>
      <c r="F415" s="1093" t="str">
        <f>VLOOKUP(E415,$N$13:$O$17,2,0)</f>
        <v>-</v>
      </c>
      <c r="G415" s="95"/>
      <c r="H415" s="93"/>
      <c r="I415" s="1091"/>
      <c r="J415" s="1083"/>
      <c r="K415" s="1083"/>
      <c r="L415" s="932"/>
      <c r="P415"/>
      <c r="Q415"/>
      <c r="R415"/>
      <c r="S415"/>
      <c r="T415"/>
      <c r="U415"/>
      <c r="V415"/>
      <c r="W415"/>
      <c r="X415"/>
    </row>
    <row r="416" spans="1:24" s="106" customFormat="1" ht="15.75" hidden="1" customHeight="1" outlineLevel="1">
      <c r="A416" s="932"/>
      <c r="B416" s="1086"/>
      <c r="C416" s="1095"/>
      <c r="D416" s="1091"/>
      <c r="E416" s="1091"/>
      <c r="F416" s="1093"/>
      <c r="G416" s="98"/>
      <c r="H416" s="93"/>
      <c r="I416" s="1091"/>
      <c r="J416" s="1084"/>
      <c r="K416" s="1084"/>
      <c r="L416" s="932"/>
      <c r="P416"/>
      <c r="Q416"/>
      <c r="R416"/>
      <c r="S416"/>
      <c r="T416"/>
      <c r="U416"/>
      <c r="V416"/>
      <c r="W416"/>
      <c r="X416"/>
    </row>
    <row r="417" spans="1:24" s="106" customFormat="1" ht="15.75" hidden="1" customHeight="1" outlineLevel="1">
      <c r="A417" s="932"/>
      <c r="B417" s="1087"/>
      <c r="C417" s="1096"/>
      <c r="D417" s="1092"/>
      <c r="E417" s="1092"/>
      <c r="F417" s="1094"/>
      <c r="G417" s="103"/>
      <c r="H417" s="101"/>
      <c r="I417" s="1092"/>
      <c r="J417" s="1085"/>
      <c r="K417" s="1085"/>
      <c r="L417" s="932"/>
      <c r="P417"/>
      <c r="Q417"/>
      <c r="R417"/>
      <c r="S417"/>
      <c r="T417"/>
      <c r="U417"/>
      <c r="V417"/>
      <c r="W417"/>
      <c r="X417"/>
    </row>
    <row r="418" spans="1:24" s="106" customFormat="1" ht="15.75" hidden="1" customHeight="1" outlineLevel="1">
      <c r="A418" s="932"/>
      <c r="B418" s="1086">
        <v>136</v>
      </c>
      <c r="C418" s="1095"/>
      <c r="D418" s="1091"/>
      <c r="E418" s="1091" t="s">
        <v>20</v>
      </c>
      <c r="F418" s="1093" t="str">
        <f>VLOOKUP(E418,$N$13:$O$17,2,0)</f>
        <v>-</v>
      </c>
      <c r="G418" s="95"/>
      <c r="H418" s="93"/>
      <c r="I418" s="1091"/>
      <c r="J418" s="1083"/>
      <c r="K418" s="1083"/>
      <c r="L418" s="932"/>
      <c r="P418"/>
      <c r="Q418"/>
      <c r="R418"/>
      <c r="S418"/>
      <c r="T418"/>
      <c r="U418"/>
      <c r="V418"/>
      <c r="W418"/>
      <c r="X418"/>
    </row>
    <row r="419" spans="1:24" s="106" customFormat="1" ht="15.75" hidden="1" customHeight="1" outlineLevel="1">
      <c r="A419" s="932"/>
      <c r="B419" s="1086"/>
      <c r="C419" s="1095"/>
      <c r="D419" s="1091"/>
      <c r="E419" s="1091"/>
      <c r="F419" s="1093"/>
      <c r="G419" s="98"/>
      <c r="H419" s="93"/>
      <c r="I419" s="1091"/>
      <c r="J419" s="1084"/>
      <c r="K419" s="1084"/>
      <c r="L419" s="932"/>
      <c r="P419"/>
      <c r="Q419"/>
      <c r="R419"/>
      <c r="S419"/>
      <c r="T419"/>
      <c r="U419"/>
      <c r="V419"/>
      <c r="W419"/>
      <c r="X419"/>
    </row>
    <row r="420" spans="1:24" s="106" customFormat="1" ht="15.75" hidden="1" customHeight="1" outlineLevel="1">
      <c r="A420" s="932"/>
      <c r="B420" s="1087"/>
      <c r="C420" s="1096"/>
      <c r="D420" s="1092"/>
      <c r="E420" s="1092"/>
      <c r="F420" s="1094"/>
      <c r="G420" s="103"/>
      <c r="H420" s="101"/>
      <c r="I420" s="1092"/>
      <c r="J420" s="1085"/>
      <c r="K420" s="1085"/>
      <c r="L420" s="932"/>
      <c r="P420"/>
      <c r="Q420"/>
      <c r="R420"/>
      <c r="S420"/>
      <c r="T420"/>
      <c r="U420"/>
      <c r="V420"/>
      <c r="W420"/>
      <c r="X420"/>
    </row>
    <row r="421" spans="1:24" s="106" customFormat="1" ht="15.75" hidden="1" customHeight="1" outlineLevel="1">
      <c r="A421" s="932"/>
      <c r="B421" s="1086">
        <v>137</v>
      </c>
      <c r="C421" s="1095"/>
      <c r="D421" s="1091"/>
      <c r="E421" s="1091" t="s">
        <v>20</v>
      </c>
      <c r="F421" s="1093" t="str">
        <f>VLOOKUP(E421,$N$13:$O$17,2,0)</f>
        <v>-</v>
      </c>
      <c r="G421" s="95"/>
      <c r="H421" s="93"/>
      <c r="I421" s="1091"/>
      <c r="J421" s="1083"/>
      <c r="K421" s="1083"/>
      <c r="L421" s="932"/>
      <c r="P421"/>
      <c r="Q421"/>
      <c r="R421"/>
      <c r="S421"/>
      <c r="T421"/>
      <c r="U421"/>
      <c r="V421"/>
      <c r="W421"/>
      <c r="X421"/>
    </row>
    <row r="422" spans="1:24" s="106" customFormat="1" ht="15.75" hidden="1" customHeight="1" outlineLevel="1">
      <c r="A422" s="932"/>
      <c r="B422" s="1086"/>
      <c r="C422" s="1095"/>
      <c r="D422" s="1091"/>
      <c r="E422" s="1091"/>
      <c r="F422" s="1093"/>
      <c r="G422" s="98"/>
      <c r="H422" s="93"/>
      <c r="I422" s="1091"/>
      <c r="J422" s="1084"/>
      <c r="K422" s="1084"/>
      <c r="L422" s="932"/>
      <c r="P422"/>
      <c r="Q422"/>
      <c r="R422"/>
      <c r="S422"/>
      <c r="T422"/>
      <c r="U422"/>
      <c r="V422"/>
      <c r="W422"/>
      <c r="X422"/>
    </row>
    <row r="423" spans="1:24" s="106" customFormat="1" ht="15.75" hidden="1" customHeight="1" outlineLevel="1">
      <c r="A423" s="932"/>
      <c r="B423" s="1087"/>
      <c r="C423" s="1096"/>
      <c r="D423" s="1092"/>
      <c r="E423" s="1092"/>
      <c r="F423" s="1094"/>
      <c r="G423" s="103"/>
      <c r="H423" s="101"/>
      <c r="I423" s="1092"/>
      <c r="J423" s="1085"/>
      <c r="K423" s="1085"/>
      <c r="L423" s="932"/>
      <c r="P423"/>
      <c r="Q423"/>
      <c r="R423"/>
      <c r="S423"/>
      <c r="T423"/>
      <c r="U423"/>
      <c r="V423"/>
      <c r="W423"/>
      <c r="X423"/>
    </row>
    <row r="424" spans="1:24" s="106" customFormat="1" ht="15.75" hidden="1" customHeight="1" outlineLevel="1">
      <c r="A424" s="932"/>
      <c r="B424" s="1086">
        <v>138</v>
      </c>
      <c r="C424" s="1095"/>
      <c r="D424" s="1091"/>
      <c r="E424" s="1091" t="s">
        <v>20</v>
      </c>
      <c r="F424" s="1093" t="str">
        <f>VLOOKUP(E424,$N$13:$O$17,2,0)</f>
        <v>-</v>
      </c>
      <c r="G424" s="95"/>
      <c r="H424" s="93"/>
      <c r="I424" s="1091"/>
      <c r="J424" s="1083"/>
      <c r="K424" s="1083"/>
      <c r="L424" s="932"/>
      <c r="P424"/>
      <c r="Q424"/>
      <c r="R424"/>
      <c r="S424"/>
      <c r="T424"/>
      <c r="U424"/>
      <c r="V424"/>
      <c r="W424"/>
      <c r="X424"/>
    </row>
    <row r="425" spans="1:24" s="106" customFormat="1" ht="15.75" hidden="1" customHeight="1" outlineLevel="1">
      <c r="A425" s="932"/>
      <c r="B425" s="1086"/>
      <c r="C425" s="1095"/>
      <c r="D425" s="1091"/>
      <c r="E425" s="1091"/>
      <c r="F425" s="1093"/>
      <c r="G425" s="98"/>
      <c r="H425" s="93"/>
      <c r="I425" s="1091"/>
      <c r="J425" s="1084"/>
      <c r="K425" s="1084"/>
      <c r="L425" s="932"/>
      <c r="P425"/>
      <c r="Q425"/>
      <c r="R425"/>
      <c r="S425"/>
      <c r="T425"/>
      <c r="U425"/>
      <c r="V425"/>
      <c r="W425"/>
      <c r="X425"/>
    </row>
    <row r="426" spans="1:24" s="106" customFormat="1" ht="15.75" hidden="1" customHeight="1" outlineLevel="1">
      <c r="A426" s="932"/>
      <c r="B426" s="1087"/>
      <c r="C426" s="1096"/>
      <c r="D426" s="1092"/>
      <c r="E426" s="1092"/>
      <c r="F426" s="1094"/>
      <c r="G426" s="103"/>
      <c r="H426" s="101"/>
      <c r="I426" s="1092"/>
      <c r="J426" s="1085"/>
      <c r="K426" s="1085"/>
      <c r="L426" s="932"/>
      <c r="P426"/>
      <c r="Q426"/>
      <c r="R426"/>
      <c r="S426"/>
      <c r="T426"/>
      <c r="U426"/>
      <c r="V426"/>
      <c r="W426"/>
      <c r="X426"/>
    </row>
    <row r="427" spans="1:24" s="106" customFormat="1" ht="15.75" hidden="1" customHeight="1" outlineLevel="1">
      <c r="A427" s="932"/>
      <c r="B427" s="1086">
        <v>139</v>
      </c>
      <c r="C427" s="1095"/>
      <c r="D427" s="1091"/>
      <c r="E427" s="1091" t="s">
        <v>20</v>
      </c>
      <c r="F427" s="1093" t="str">
        <f>VLOOKUP(E427,$N$13:$O$17,2,0)</f>
        <v>-</v>
      </c>
      <c r="G427" s="95"/>
      <c r="H427" s="93"/>
      <c r="I427" s="1091"/>
      <c r="J427" s="1083"/>
      <c r="K427" s="1083"/>
      <c r="L427" s="932"/>
      <c r="P427"/>
      <c r="Q427"/>
      <c r="R427"/>
      <c r="S427"/>
      <c r="T427"/>
      <c r="U427"/>
      <c r="V427"/>
      <c r="W427"/>
      <c r="X427"/>
    </row>
    <row r="428" spans="1:24" s="106" customFormat="1" ht="15.75" hidden="1" customHeight="1" outlineLevel="1">
      <c r="A428" s="932"/>
      <c r="B428" s="1086"/>
      <c r="C428" s="1095"/>
      <c r="D428" s="1091"/>
      <c r="E428" s="1091"/>
      <c r="F428" s="1093"/>
      <c r="G428" s="98"/>
      <c r="H428" s="93"/>
      <c r="I428" s="1091"/>
      <c r="J428" s="1084"/>
      <c r="K428" s="1084"/>
      <c r="L428" s="932"/>
      <c r="P428"/>
      <c r="Q428"/>
      <c r="R428"/>
      <c r="S428"/>
      <c r="T428"/>
      <c r="U428"/>
      <c r="V428"/>
      <c r="W428"/>
      <c r="X428"/>
    </row>
    <row r="429" spans="1:24" s="106" customFormat="1" ht="15.75" hidden="1" customHeight="1" outlineLevel="1">
      <c r="A429" s="932"/>
      <c r="B429" s="1087"/>
      <c r="C429" s="1096"/>
      <c r="D429" s="1092"/>
      <c r="E429" s="1092"/>
      <c r="F429" s="1094"/>
      <c r="G429" s="103"/>
      <c r="H429" s="101"/>
      <c r="I429" s="1092"/>
      <c r="J429" s="1085"/>
      <c r="K429" s="1085"/>
      <c r="L429" s="932"/>
      <c r="P429"/>
      <c r="Q429"/>
      <c r="R429"/>
      <c r="S429"/>
      <c r="T429"/>
      <c r="U429"/>
      <c r="V429"/>
      <c r="W429"/>
      <c r="X429"/>
    </row>
    <row r="430" spans="1:24" s="106" customFormat="1" ht="15.75" hidden="1" customHeight="1" outlineLevel="1">
      <c r="A430" s="932"/>
      <c r="B430" s="1086">
        <v>140</v>
      </c>
      <c r="C430" s="1095"/>
      <c r="D430" s="1091"/>
      <c r="E430" s="1091" t="s">
        <v>20</v>
      </c>
      <c r="F430" s="1093" t="str">
        <f>VLOOKUP(E430,$N$13:$O$17,2,0)</f>
        <v>-</v>
      </c>
      <c r="G430" s="95"/>
      <c r="H430" s="93"/>
      <c r="I430" s="1091"/>
      <c r="J430" s="1083"/>
      <c r="K430" s="1083"/>
      <c r="L430" s="932"/>
      <c r="P430"/>
      <c r="Q430"/>
      <c r="R430"/>
      <c r="S430"/>
      <c r="T430"/>
      <c r="U430"/>
      <c r="V430"/>
      <c r="W430"/>
      <c r="X430"/>
    </row>
    <row r="431" spans="1:24" s="106" customFormat="1" ht="15.75" hidden="1" customHeight="1" outlineLevel="1">
      <c r="A431" s="932"/>
      <c r="B431" s="1086"/>
      <c r="C431" s="1095"/>
      <c r="D431" s="1091"/>
      <c r="E431" s="1091"/>
      <c r="F431" s="1093"/>
      <c r="G431" s="98"/>
      <c r="H431" s="93"/>
      <c r="I431" s="1091"/>
      <c r="J431" s="1084"/>
      <c r="K431" s="1084"/>
      <c r="L431" s="932"/>
      <c r="P431"/>
      <c r="Q431"/>
      <c r="R431"/>
      <c r="S431"/>
      <c r="T431"/>
      <c r="U431"/>
      <c r="V431"/>
      <c r="W431"/>
      <c r="X431"/>
    </row>
    <row r="432" spans="1:24" s="106" customFormat="1" ht="15.75" hidden="1" customHeight="1" outlineLevel="1">
      <c r="A432" s="932"/>
      <c r="B432" s="1087"/>
      <c r="C432" s="1096"/>
      <c r="D432" s="1092"/>
      <c r="E432" s="1092"/>
      <c r="F432" s="1094"/>
      <c r="G432" s="103"/>
      <c r="H432" s="101"/>
      <c r="I432" s="1092"/>
      <c r="J432" s="1085"/>
      <c r="K432" s="1085"/>
      <c r="L432" s="932"/>
      <c r="P432"/>
      <c r="Q432"/>
      <c r="R432"/>
      <c r="S432"/>
      <c r="T432"/>
      <c r="U432"/>
      <c r="V432"/>
      <c r="W432"/>
      <c r="X432"/>
    </row>
    <row r="433" spans="1:24" s="106" customFormat="1" ht="15.75" hidden="1" customHeight="1" outlineLevel="1">
      <c r="A433" s="932"/>
      <c r="B433" s="1086">
        <v>141</v>
      </c>
      <c r="C433" s="1095"/>
      <c r="D433" s="1091"/>
      <c r="E433" s="1091" t="s">
        <v>20</v>
      </c>
      <c r="F433" s="1093" t="str">
        <f>VLOOKUP(E433,$N$13:$O$17,2,0)</f>
        <v>-</v>
      </c>
      <c r="G433" s="95"/>
      <c r="H433" s="93"/>
      <c r="I433" s="1091"/>
      <c r="J433" s="1083"/>
      <c r="K433" s="1083"/>
      <c r="L433" s="932"/>
      <c r="P433"/>
      <c r="Q433"/>
      <c r="R433"/>
      <c r="S433"/>
      <c r="T433"/>
      <c r="U433"/>
      <c r="V433"/>
      <c r="W433"/>
      <c r="X433"/>
    </row>
    <row r="434" spans="1:24" s="106" customFormat="1" ht="15.75" hidden="1" customHeight="1" outlineLevel="1">
      <c r="A434" s="932"/>
      <c r="B434" s="1086"/>
      <c r="C434" s="1095"/>
      <c r="D434" s="1091"/>
      <c r="E434" s="1091"/>
      <c r="F434" s="1093"/>
      <c r="G434" s="98"/>
      <c r="H434" s="93"/>
      <c r="I434" s="1091"/>
      <c r="J434" s="1084"/>
      <c r="K434" s="1084"/>
      <c r="L434" s="932"/>
      <c r="P434"/>
      <c r="Q434"/>
      <c r="R434"/>
      <c r="S434"/>
      <c r="T434"/>
      <c r="U434"/>
      <c r="V434"/>
      <c r="W434"/>
      <c r="X434"/>
    </row>
    <row r="435" spans="1:24" s="106" customFormat="1" ht="15.75" hidden="1" customHeight="1" outlineLevel="1">
      <c r="A435" s="932"/>
      <c r="B435" s="1087"/>
      <c r="C435" s="1096"/>
      <c r="D435" s="1092"/>
      <c r="E435" s="1092"/>
      <c r="F435" s="1094"/>
      <c r="G435" s="103"/>
      <c r="H435" s="101"/>
      <c r="I435" s="1092"/>
      <c r="J435" s="1085"/>
      <c r="K435" s="1085"/>
      <c r="L435" s="932"/>
      <c r="P435"/>
      <c r="Q435"/>
      <c r="R435"/>
      <c r="S435"/>
      <c r="T435"/>
      <c r="U435"/>
      <c r="V435"/>
      <c r="W435"/>
      <c r="X435"/>
    </row>
    <row r="436" spans="1:24" s="106" customFormat="1" ht="15.75" hidden="1" customHeight="1" outlineLevel="1">
      <c r="A436" s="932"/>
      <c r="B436" s="1086">
        <v>142</v>
      </c>
      <c r="C436" s="1095"/>
      <c r="D436" s="1091"/>
      <c r="E436" s="1091" t="s">
        <v>20</v>
      </c>
      <c r="F436" s="1093" t="str">
        <f>VLOOKUP(E436,$N$13:$O$17,2,0)</f>
        <v>-</v>
      </c>
      <c r="G436" s="95"/>
      <c r="H436" s="93"/>
      <c r="I436" s="1091"/>
      <c r="J436" s="1083"/>
      <c r="K436" s="1083"/>
      <c r="L436" s="932"/>
      <c r="P436"/>
      <c r="Q436"/>
      <c r="R436"/>
      <c r="S436"/>
      <c r="T436"/>
      <c r="U436"/>
      <c r="V436"/>
      <c r="W436"/>
      <c r="X436"/>
    </row>
    <row r="437" spans="1:24" s="106" customFormat="1" ht="15.75" hidden="1" customHeight="1" outlineLevel="1">
      <c r="A437" s="932"/>
      <c r="B437" s="1086"/>
      <c r="C437" s="1095"/>
      <c r="D437" s="1091"/>
      <c r="E437" s="1091"/>
      <c r="F437" s="1093"/>
      <c r="G437" s="98"/>
      <c r="H437" s="93"/>
      <c r="I437" s="1091"/>
      <c r="J437" s="1084"/>
      <c r="K437" s="1084"/>
      <c r="L437" s="932"/>
      <c r="P437"/>
      <c r="Q437"/>
      <c r="R437"/>
      <c r="S437"/>
      <c r="T437"/>
      <c r="U437"/>
      <c r="V437"/>
      <c r="W437"/>
      <c r="X437"/>
    </row>
    <row r="438" spans="1:24" s="106" customFormat="1" ht="15.75" hidden="1" customHeight="1" outlineLevel="1">
      <c r="A438" s="932"/>
      <c r="B438" s="1087"/>
      <c r="C438" s="1096"/>
      <c r="D438" s="1092"/>
      <c r="E438" s="1092"/>
      <c r="F438" s="1094"/>
      <c r="G438" s="103"/>
      <c r="H438" s="101"/>
      <c r="I438" s="1092"/>
      <c r="J438" s="1085"/>
      <c r="K438" s="1085"/>
      <c r="L438" s="932"/>
      <c r="P438"/>
      <c r="Q438"/>
      <c r="R438"/>
      <c r="S438"/>
      <c r="T438"/>
      <c r="U438"/>
      <c r="V438"/>
      <c r="W438"/>
      <c r="X438"/>
    </row>
    <row r="439" spans="1:24" s="106" customFormat="1" ht="15.75" hidden="1" customHeight="1" outlineLevel="1">
      <c r="A439" s="932"/>
      <c r="B439" s="1086">
        <v>143</v>
      </c>
      <c r="C439" s="1095"/>
      <c r="D439" s="1091"/>
      <c r="E439" s="1091" t="s">
        <v>20</v>
      </c>
      <c r="F439" s="1093" t="str">
        <f>VLOOKUP(E439,$N$13:$O$17,2,0)</f>
        <v>-</v>
      </c>
      <c r="G439" s="95"/>
      <c r="H439" s="93"/>
      <c r="I439" s="1091"/>
      <c r="J439" s="1083"/>
      <c r="K439" s="1083"/>
      <c r="L439" s="932"/>
      <c r="P439"/>
      <c r="Q439"/>
      <c r="R439"/>
      <c r="S439"/>
      <c r="T439"/>
      <c r="U439"/>
      <c r="V439"/>
      <c r="W439"/>
      <c r="X439"/>
    </row>
    <row r="440" spans="1:24" s="106" customFormat="1" ht="15.75" hidden="1" customHeight="1" outlineLevel="1">
      <c r="A440" s="932"/>
      <c r="B440" s="1086"/>
      <c r="C440" s="1095"/>
      <c r="D440" s="1091"/>
      <c r="E440" s="1091"/>
      <c r="F440" s="1093"/>
      <c r="G440" s="98"/>
      <c r="H440" s="93"/>
      <c r="I440" s="1091"/>
      <c r="J440" s="1084"/>
      <c r="K440" s="1084"/>
      <c r="L440" s="932"/>
      <c r="P440"/>
      <c r="Q440"/>
      <c r="R440"/>
      <c r="S440"/>
      <c r="T440"/>
      <c r="U440"/>
      <c r="V440"/>
      <c r="W440"/>
      <c r="X440"/>
    </row>
    <row r="441" spans="1:24" s="106" customFormat="1" ht="15.75" hidden="1" customHeight="1" outlineLevel="1">
      <c r="A441" s="932"/>
      <c r="B441" s="1087"/>
      <c r="C441" s="1096"/>
      <c r="D441" s="1092"/>
      <c r="E441" s="1092"/>
      <c r="F441" s="1094"/>
      <c r="G441" s="103"/>
      <c r="H441" s="101"/>
      <c r="I441" s="1092"/>
      <c r="J441" s="1085"/>
      <c r="K441" s="1085"/>
      <c r="L441" s="932"/>
      <c r="P441"/>
      <c r="Q441"/>
      <c r="R441"/>
      <c r="S441"/>
      <c r="T441"/>
      <c r="U441"/>
      <c r="V441"/>
      <c r="W441"/>
      <c r="X441"/>
    </row>
    <row r="442" spans="1:24" s="106" customFormat="1" ht="15.75" hidden="1" customHeight="1" outlineLevel="1">
      <c r="A442" s="932"/>
      <c r="B442" s="1086">
        <v>144</v>
      </c>
      <c r="C442" s="1095"/>
      <c r="D442" s="1091"/>
      <c r="E442" s="1091" t="s">
        <v>20</v>
      </c>
      <c r="F442" s="1093" t="str">
        <f>VLOOKUP(E442,$N$13:$O$17,2,0)</f>
        <v>-</v>
      </c>
      <c r="G442" s="95"/>
      <c r="H442" s="93"/>
      <c r="I442" s="1091"/>
      <c r="J442" s="1083"/>
      <c r="K442" s="1083"/>
      <c r="L442" s="932"/>
      <c r="P442"/>
      <c r="Q442"/>
      <c r="R442"/>
      <c r="S442"/>
      <c r="T442"/>
      <c r="U442"/>
      <c r="V442"/>
      <c r="W442"/>
      <c r="X442"/>
    </row>
    <row r="443" spans="1:24" s="106" customFormat="1" ht="15.75" hidden="1" customHeight="1" outlineLevel="1">
      <c r="A443" s="932"/>
      <c r="B443" s="1086"/>
      <c r="C443" s="1095"/>
      <c r="D443" s="1091"/>
      <c r="E443" s="1091"/>
      <c r="F443" s="1093"/>
      <c r="G443" s="98"/>
      <c r="H443" s="93"/>
      <c r="I443" s="1091"/>
      <c r="J443" s="1084"/>
      <c r="K443" s="1084"/>
      <c r="L443" s="932"/>
      <c r="P443"/>
      <c r="Q443"/>
      <c r="R443"/>
      <c r="S443"/>
      <c r="T443"/>
      <c r="U443"/>
      <c r="V443"/>
      <c r="W443"/>
      <c r="X443"/>
    </row>
    <row r="444" spans="1:24" s="106" customFormat="1" ht="15.75" hidden="1" customHeight="1" outlineLevel="1">
      <c r="A444" s="932"/>
      <c r="B444" s="1087"/>
      <c r="C444" s="1096"/>
      <c r="D444" s="1092"/>
      <c r="E444" s="1092"/>
      <c r="F444" s="1094"/>
      <c r="G444" s="103"/>
      <c r="H444" s="101"/>
      <c r="I444" s="1092"/>
      <c r="J444" s="1085"/>
      <c r="K444" s="1085"/>
      <c r="L444" s="932"/>
      <c r="P444"/>
      <c r="Q444"/>
      <c r="R444"/>
      <c r="S444"/>
      <c r="T444"/>
      <c r="U444"/>
      <c r="V444"/>
      <c r="W444"/>
      <c r="X444"/>
    </row>
    <row r="445" spans="1:24" s="106" customFormat="1" ht="15.75" hidden="1" customHeight="1" outlineLevel="1">
      <c r="A445" s="932"/>
      <c r="B445" s="1086">
        <v>145</v>
      </c>
      <c r="C445" s="1095"/>
      <c r="D445" s="1091"/>
      <c r="E445" s="1091" t="s">
        <v>20</v>
      </c>
      <c r="F445" s="1093" t="str">
        <f>VLOOKUP(E445,$N$13:$O$17,2,0)</f>
        <v>-</v>
      </c>
      <c r="G445" s="95"/>
      <c r="H445" s="93"/>
      <c r="I445" s="1091"/>
      <c r="J445" s="1083"/>
      <c r="K445" s="1083"/>
      <c r="L445" s="932"/>
      <c r="P445"/>
      <c r="Q445"/>
      <c r="R445"/>
      <c r="S445"/>
      <c r="T445"/>
      <c r="U445"/>
      <c r="V445"/>
      <c r="W445"/>
      <c r="X445"/>
    </row>
    <row r="446" spans="1:24" s="106" customFormat="1" ht="15.75" hidden="1" customHeight="1" outlineLevel="1">
      <c r="A446" s="932"/>
      <c r="B446" s="1086"/>
      <c r="C446" s="1095"/>
      <c r="D446" s="1091"/>
      <c r="E446" s="1091"/>
      <c r="F446" s="1093"/>
      <c r="G446" s="98"/>
      <c r="H446" s="93"/>
      <c r="I446" s="1091"/>
      <c r="J446" s="1084"/>
      <c r="K446" s="1084"/>
      <c r="L446" s="932"/>
      <c r="P446"/>
      <c r="Q446"/>
      <c r="R446"/>
      <c r="S446"/>
      <c r="T446"/>
      <c r="U446"/>
      <c r="V446"/>
      <c r="W446"/>
      <c r="X446"/>
    </row>
    <row r="447" spans="1:24" s="106" customFormat="1" ht="15.75" hidden="1" customHeight="1" outlineLevel="1">
      <c r="A447" s="932"/>
      <c r="B447" s="1087"/>
      <c r="C447" s="1096"/>
      <c r="D447" s="1092"/>
      <c r="E447" s="1092"/>
      <c r="F447" s="1094"/>
      <c r="G447" s="103"/>
      <c r="H447" s="101"/>
      <c r="I447" s="1092"/>
      <c r="J447" s="1085"/>
      <c r="K447" s="1085"/>
      <c r="L447" s="932"/>
      <c r="P447"/>
      <c r="Q447"/>
      <c r="R447"/>
      <c r="S447"/>
      <c r="T447"/>
      <c r="U447"/>
      <c r="V447"/>
      <c r="W447"/>
      <c r="X447"/>
    </row>
    <row r="448" spans="1:24" s="106" customFormat="1" ht="15.75" hidden="1" customHeight="1" outlineLevel="1">
      <c r="A448" s="932"/>
      <c r="B448" s="1086">
        <v>146</v>
      </c>
      <c r="C448" s="1095"/>
      <c r="D448" s="1091"/>
      <c r="E448" s="1091" t="s">
        <v>20</v>
      </c>
      <c r="F448" s="1093" t="str">
        <f>VLOOKUP(E448,$N$13:$O$17,2,0)</f>
        <v>-</v>
      </c>
      <c r="G448" s="95"/>
      <c r="H448" s="93"/>
      <c r="I448" s="1091"/>
      <c r="J448" s="1083"/>
      <c r="K448" s="1083"/>
      <c r="L448" s="932"/>
      <c r="P448"/>
      <c r="Q448"/>
      <c r="R448"/>
      <c r="S448"/>
      <c r="T448"/>
      <c r="U448"/>
      <c r="V448"/>
      <c r="W448"/>
      <c r="X448"/>
    </row>
    <row r="449" spans="1:24" s="106" customFormat="1" ht="15.75" hidden="1" customHeight="1" outlineLevel="1">
      <c r="A449" s="932"/>
      <c r="B449" s="1086"/>
      <c r="C449" s="1095"/>
      <c r="D449" s="1091"/>
      <c r="E449" s="1091"/>
      <c r="F449" s="1093"/>
      <c r="G449" s="98"/>
      <c r="H449" s="93"/>
      <c r="I449" s="1091"/>
      <c r="J449" s="1084"/>
      <c r="K449" s="1084"/>
      <c r="L449" s="932"/>
      <c r="P449"/>
      <c r="Q449"/>
      <c r="R449"/>
      <c r="S449"/>
      <c r="T449"/>
      <c r="U449"/>
      <c r="V449"/>
      <c r="W449"/>
      <c r="X449"/>
    </row>
    <row r="450" spans="1:24" s="106" customFormat="1" ht="15.75" hidden="1" customHeight="1" outlineLevel="1">
      <c r="A450" s="932"/>
      <c r="B450" s="1087"/>
      <c r="C450" s="1096"/>
      <c r="D450" s="1092"/>
      <c r="E450" s="1092"/>
      <c r="F450" s="1094"/>
      <c r="G450" s="103"/>
      <c r="H450" s="101"/>
      <c r="I450" s="1092"/>
      <c r="J450" s="1085"/>
      <c r="K450" s="1085"/>
      <c r="L450" s="932"/>
      <c r="P450"/>
      <c r="Q450"/>
      <c r="R450"/>
      <c r="S450"/>
      <c r="T450"/>
      <c r="U450"/>
      <c r="V450"/>
      <c r="W450"/>
      <c r="X450"/>
    </row>
    <row r="451" spans="1:24" s="106" customFormat="1" ht="15.75" hidden="1" customHeight="1" outlineLevel="1">
      <c r="A451" s="932"/>
      <c r="B451" s="1086">
        <v>147</v>
      </c>
      <c r="C451" s="1095"/>
      <c r="D451" s="1091"/>
      <c r="E451" s="1091" t="s">
        <v>20</v>
      </c>
      <c r="F451" s="1093" t="str">
        <f>VLOOKUP(E451,$N$13:$O$17,2,0)</f>
        <v>-</v>
      </c>
      <c r="G451" s="95"/>
      <c r="H451" s="93"/>
      <c r="I451" s="1091"/>
      <c r="J451" s="1083"/>
      <c r="K451" s="1083"/>
      <c r="L451" s="932"/>
      <c r="P451"/>
      <c r="Q451"/>
      <c r="R451"/>
      <c r="S451"/>
      <c r="T451"/>
      <c r="U451"/>
      <c r="V451"/>
      <c r="W451"/>
      <c r="X451"/>
    </row>
    <row r="452" spans="1:24" s="106" customFormat="1" ht="15.75" hidden="1" customHeight="1" outlineLevel="1">
      <c r="A452" s="932"/>
      <c r="B452" s="1086"/>
      <c r="C452" s="1095"/>
      <c r="D452" s="1091"/>
      <c r="E452" s="1091"/>
      <c r="F452" s="1093"/>
      <c r="G452" s="98"/>
      <c r="H452" s="93"/>
      <c r="I452" s="1091"/>
      <c r="J452" s="1084"/>
      <c r="K452" s="1084"/>
      <c r="L452" s="932"/>
      <c r="P452"/>
      <c r="Q452"/>
      <c r="R452"/>
      <c r="S452"/>
      <c r="T452"/>
      <c r="U452"/>
      <c r="V452"/>
      <c r="W452"/>
      <c r="X452"/>
    </row>
    <row r="453" spans="1:24" s="106" customFormat="1" ht="15.75" hidden="1" customHeight="1" outlineLevel="1">
      <c r="A453" s="932"/>
      <c r="B453" s="1087"/>
      <c r="C453" s="1096"/>
      <c r="D453" s="1092"/>
      <c r="E453" s="1092"/>
      <c r="F453" s="1094"/>
      <c r="G453" s="103"/>
      <c r="H453" s="101"/>
      <c r="I453" s="1092"/>
      <c r="J453" s="1085"/>
      <c r="K453" s="1085"/>
      <c r="L453" s="932"/>
      <c r="P453"/>
      <c r="Q453"/>
      <c r="R453"/>
      <c r="S453"/>
      <c r="T453"/>
      <c r="U453"/>
      <c r="V453"/>
      <c r="W453"/>
      <c r="X453"/>
    </row>
    <row r="454" spans="1:24" s="106" customFormat="1" ht="15.75" hidden="1" customHeight="1" outlineLevel="1">
      <c r="A454" s="932"/>
      <c r="B454" s="1086">
        <v>148</v>
      </c>
      <c r="C454" s="1095"/>
      <c r="D454" s="1091"/>
      <c r="E454" s="1091" t="s">
        <v>20</v>
      </c>
      <c r="F454" s="1093" t="str">
        <f>VLOOKUP(E454,$N$13:$O$17,2,0)</f>
        <v>-</v>
      </c>
      <c r="G454" s="95"/>
      <c r="H454" s="93"/>
      <c r="I454" s="1091"/>
      <c r="J454" s="1083"/>
      <c r="K454" s="1083"/>
      <c r="L454" s="932"/>
      <c r="P454"/>
      <c r="Q454"/>
      <c r="R454"/>
      <c r="S454"/>
      <c r="T454"/>
      <c r="U454"/>
      <c r="V454"/>
      <c r="W454"/>
      <c r="X454"/>
    </row>
    <row r="455" spans="1:24" s="106" customFormat="1" ht="15.75" hidden="1" customHeight="1" outlineLevel="1">
      <c r="A455" s="932"/>
      <c r="B455" s="1086"/>
      <c r="C455" s="1095"/>
      <c r="D455" s="1091"/>
      <c r="E455" s="1091"/>
      <c r="F455" s="1093"/>
      <c r="G455" s="98"/>
      <c r="H455" s="93"/>
      <c r="I455" s="1091"/>
      <c r="J455" s="1084"/>
      <c r="K455" s="1084"/>
      <c r="L455" s="932"/>
      <c r="P455"/>
      <c r="Q455"/>
      <c r="R455"/>
      <c r="S455"/>
      <c r="T455"/>
      <c r="U455"/>
      <c r="V455"/>
      <c r="W455"/>
      <c r="X455"/>
    </row>
    <row r="456" spans="1:24" s="106" customFormat="1" ht="15.75" hidden="1" customHeight="1" outlineLevel="1">
      <c r="A456" s="932"/>
      <c r="B456" s="1087"/>
      <c r="C456" s="1096"/>
      <c r="D456" s="1092"/>
      <c r="E456" s="1092"/>
      <c r="F456" s="1094"/>
      <c r="G456" s="103"/>
      <c r="H456" s="101"/>
      <c r="I456" s="1092"/>
      <c r="J456" s="1085"/>
      <c r="K456" s="1085"/>
      <c r="L456" s="932"/>
      <c r="P456"/>
      <c r="Q456"/>
      <c r="R456"/>
      <c r="S456"/>
      <c r="T456"/>
      <c r="U456"/>
      <c r="V456"/>
      <c r="W456"/>
      <c r="X456"/>
    </row>
    <row r="457" spans="1:24" s="106" customFormat="1" ht="15.75" hidden="1" customHeight="1" outlineLevel="1">
      <c r="A457" s="932"/>
      <c r="B457" s="1086">
        <v>149</v>
      </c>
      <c r="C457" s="1095"/>
      <c r="D457" s="1091"/>
      <c r="E457" s="1091" t="s">
        <v>20</v>
      </c>
      <c r="F457" s="1093" t="str">
        <f>VLOOKUP(E457,$N$13:$O$17,2,0)</f>
        <v>-</v>
      </c>
      <c r="G457" s="95"/>
      <c r="H457" s="93"/>
      <c r="I457" s="1091"/>
      <c r="J457" s="1083"/>
      <c r="K457" s="1083"/>
      <c r="L457" s="932"/>
      <c r="P457"/>
      <c r="Q457"/>
      <c r="R457"/>
      <c r="S457"/>
      <c r="T457"/>
      <c r="U457"/>
      <c r="V457"/>
      <c r="W457"/>
      <c r="X457"/>
    </row>
    <row r="458" spans="1:24" s="106" customFormat="1" ht="15.75" hidden="1" customHeight="1" outlineLevel="1">
      <c r="A458" s="932"/>
      <c r="B458" s="1086"/>
      <c r="C458" s="1095"/>
      <c r="D458" s="1091"/>
      <c r="E458" s="1091"/>
      <c r="F458" s="1093"/>
      <c r="G458" s="98"/>
      <c r="H458" s="93"/>
      <c r="I458" s="1091"/>
      <c r="J458" s="1084"/>
      <c r="K458" s="1084"/>
      <c r="L458" s="932"/>
      <c r="P458"/>
      <c r="Q458"/>
      <c r="R458"/>
      <c r="S458"/>
      <c r="T458"/>
      <c r="U458"/>
      <c r="V458"/>
      <c r="W458"/>
      <c r="X458"/>
    </row>
    <row r="459" spans="1:24" s="106" customFormat="1" ht="15.75" hidden="1" customHeight="1" outlineLevel="1">
      <c r="A459" s="932"/>
      <c r="B459" s="1087"/>
      <c r="C459" s="1096"/>
      <c r="D459" s="1092"/>
      <c r="E459" s="1092"/>
      <c r="F459" s="1094"/>
      <c r="G459" s="103"/>
      <c r="H459" s="101"/>
      <c r="I459" s="1092"/>
      <c r="J459" s="1085"/>
      <c r="K459" s="1085"/>
      <c r="L459" s="932"/>
      <c r="P459"/>
      <c r="Q459"/>
      <c r="R459"/>
      <c r="S459"/>
      <c r="T459"/>
      <c r="U459"/>
      <c r="V459"/>
      <c r="W459"/>
      <c r="X459"/>
    </row>
    <row r="460" spans="1:24" s="106" customFormat="1" ht="15.75" hidden="1" customHeight="1" outlineLevel="1">
      <c r="A460" s="932"/>
      <c r="B460" s="1086">
        <v>150</v>
      </c>
      <c r="C460" s="1095"/>
      <c r="D460" s="1091"/>
      <c r="E460" s="1091" t="s">
        <v>20</v>
      </c>
      <c r="F460" s="1093" t="str">
        <f>VLOOKUP(E460,$N$13:$O$17,2,0)</f>
        <v>-</v>
      </c>
      <c r="G460" s="95"/>
      <c r="H460" s="93"/>
      <c r="I460" s="1091"/>
      <c r="J460" s="1083"/>
      <c r="K460" s="1083"/>
      <c r="L460" s="932"/>
      <c r="P460"/>
      <c r="Q460"/>
      <c r="R460"/>
      <c r="S460"/>
      <c r="T460"/>
      <c r="U460"/>
      <c r="V460"/>
      <c r="W460"/>
      <c r="X460"/>
    </row>
    <row r="461" spans="1:24" s="106" customFormat="1" ht="15.75" hidden="1" customHeight="1" outlineLevel="1">
      <c r="A461" s="932"/>
      <c r="B461" s="1086"/>
      <c r="C461" s="1095"/>
      <c r="D461" s="1091"/>
      <c r="E461" s="1091"/>
      <c r="F461" s="1093"/>
      <c r="G461" s="98"/>
      <c r="H461" s="93"/>
      <c r="I461" s="1091"/>
      <c r="J461" s="1084"/>
      <c r="K461" s="1084"/>
      <c r="L461" s="932"/>
      <c r="P461"/>
      <c r="Q461"/>
      <c r="R461"/>
      <c r="S461"/>
      <c r="T461"/>
      <c r="U461"/>
      <c r="V461"/>
      <c r="W461"/>
      <c r="X461"/>
    </row>
    <row r="462" spans="1:24" s="106" customFormat="1" ht="15.75" hidden="1" customHeight="1" outlineLevel="1">
      <c r="A462" s="932"/>
      <c r="B462" s="1087"/>
      <c r="C462" s="1096"/>
      <c r="D462" s="1092"/>
      <c r="E462" s="1092"/>
      <c r="F462" s="1094"/>
      <c r="G462" s="103"/>
      <c r="H462" s="101"/>
      <c r="I462" s="1092"/>
      <c r="J462" s="1085"/>
      <c r="K462" s="1085"/>
      <c r="L462" s="932"/>
      <c r="P462"/>
      <c r="Q462"/>
      <c r="R462"/>
      <c r="S462"/>
      <c r="T462"/>
      <c r="U462"/>
      <c r="V462"/>
      <c r="W462"/>
      <c r="X462"/>
    </row>
    <row r="463" spans="1:24" s="106" customFormat="1" ht="15.75" hidden="1" customHeight="1" outlineLevel="1">
      <c r="A463" s="932"/>
      <c r="B463" s="1086">
        <v>151</v>
      </c>
      <c r="C463" s="1095"/>
      <c r="D463" s="1091"/>
      <c r="E463" s="1091" t="s">
        <v>20</v>
      </c>
      <c r="F463" s="1093" t="str">
        <f>VLOOKUP(E463,$N$13:$O$17,2,0)</f>
        <v>-</v>
      </c>
      <c r="G463" s="95"/>
      <c r="H463" s="93"/>
      <c r="I463" s="1091"/>
      <c r="J463" s="1083"/>
      <c r="K463" s="1083"/>
      <c r="L463" s="932"/>
      <c r="P463"/>
      <c r="Q463"/>
      <c r="R463"/>
      <c r="S463"/>
      <c r="T463"/>
      <c r="U463"/>
      <c r="V463"/>
      <c r="W463"/>
      <c r="X463"/>
    </row>
    <row r="464" spans="1:24" s="106" customFormat="1" ht="15.75" hidden="1" customHeight="1" outlineLevel="1">
      <c r="A464" s="932"/>
      <c r="B464" s="1086"/>
      <c r="C464" s="1095"/>
      <c r="D464" s="1091"/>
      <c r="E464" s="1091"/>
      <c r="F464" s="1093"/>
      <c r="G464" s="98"/>
      <c r="H464" s="93"/>
      <c r="I464" s="1091"/>
      <c r="J464" s="1084"/>
      <c r="K464" s="1084"/>
      <c r="L464" s="932"/>
      <c r="P464"/>
      <c r="Q464"/>
      <c r="R464"/>
      <c r="S464"/>
      <c r="T464"/>
      <c r="U464"/>
      <c r="V464"/>
      <c r="W464"/>
      <c r="X464"/>
    </row>
    <row r="465" spans="1:24" s="106" customFormat="1" ht="15.75" hidden="1" customHeight="1" outlineLevel="1">
      <c r="A465" s="932"/>
      <c r="B465" s="1087"/>
      <c r="C465" s="1096"/>
      <c r="D465" s="1092"/>
      <c r="E465" s="1092"/>
      <c r="F465" s="1094"/>
      <c r="G465" s="103"/>
      <c r="H465" s="101"/>
      <c r="I465" s="1092"/>
      <c r="J465" s="1085"/>
      <c r="K465" s="1085"/>
      <c r="L465" s="932"/>
      <c r="P465"/>
      <c r="Q465"/>
      <c r="R465"/>
      <c r="S465"/>
      <c r="T465"/>
      <c r="U465"/>
      <c r="V465"/>
      <c r="W465"/>
      <c r="X465"/>
    </row>
    <row r="466" spans="1:24" s="106" customFormat="1" ht="15.75" hidden="1" customHeight="1" outlineLevel="1">
      <c r="A466" s="932"/>
      <c r="B466" s="1086">
        <v>152</v>
      </c>
      <c r="C466" s="1095"/>
      <c r="D466" s="1091"/>
      <c r="E466" s="1091" t="s">
        <v>20</v>
      </c>
      <c r="F466" s="1093" t="str">
        <f>VLOOKUP(E466,$N$13:$O$17,2,0)</f>
        <v>-</v>
      </c>
      <c r="G466" s="95"/>
      <c r="H466" s="93"/>
      <c r="I466" s="1091"/>
      <c r="J466" s="1083"/>
      <c r="K466" s="1083"/>
      <c r="L466" s="932"/>
      <c r="P466"/>
      <c r="Q466"/>
      <c r="R466"/>
      <c r="S466"/>
      <c r="T466"/>
      <c r="U466"/>
      <c r="V466"/>
      <c r="W466"/>
      <c r="X466"/>
    </row>
    <row r="467" spans="1:24" s="106" customFormat="1" ht="15.75" hidden="1" customHeight="1" outlineLevel="1">
      <c r="A467" s="932"/>
      <c r="B467" s="1086"/>
      <c r="C467" s="1095"/>
      <c r="D467" s="1091"/>
      <c r="E467" s="1091"/>
      <c r="F467" s="1093"/>
      <c r="G467" s="98"/>
      <c r="H467" s="93"/>
      <c r="I467" s="1091"/>
      <c r="J467" s="1084"/>
      <c r="K467" s="1084"/>
      <c r="L467" s="932"/>
      <c r="P467"/>
      <c r="Q467"/>
      <c r="R467"/>
      <c r="S467"/>
      <c r="T467"/>
      <c r="U467"/>
      <c r="V467"/>
      <c r="W467"/>
      <c r="X467"/>
    </row>
    <row r="468" spans="1:24" s="106" customFormat="1" ht="15.75" hidden="1" customHeight="1" outlineLevel="1">
      <c r="A468" s="932"/>
      <c r="B468" s="1087"/>
      <c r="C468" s="1096"/>
      <c r="D468" s="1092"/>
      <c r="E468" s="1092"/>
      <c r="F468" s="1094"/>
      <c r="G468" s="103"/>
      <c r="H468" s="101"/>
      <c r="I468" s="1092"/>
      <c r="J468" s="1085"/>
      <c r="K468" s="1085"/>
      <c r="L468" s="932"/>
      <c r="P468"/>
      <c r="Q468"/>
      <c r="R468"/>
      <c r="S468"/>
      <c r="T468"/>
      <c r="U468"/>
      <c r="V468"/>
      <c r="W468"/>
      <c r="X468"/>
    </row>
    <row r="469" spans="1:24" s="106" customFormat="1" ht="15.75" hidden="1" customHeight="1" outlineLevel="1">
      <c r="A469" s="932"/>
      <c r="B469" s="1086">
        <v>153</v>
      </c>
      <c r="C469" s="1095"/>
      <c r="D469" s="1091"/>
      <c r="E469" s="1091" t="s">
        <v>20</v>
      </c>
      <c r="F469" s="1093" t="str">
        <f>VLOOKUP(E469,$N$13:$O$17,2,0)</f>
        <v>-</v>
      </c>
      <c r="G469" s="95"/>
      <c r="H469" s="93"/>
      <c r="I469" s="1091"/>
      <c r="J469" s="1083"/>
      <c r="K469" s="1083"/>
      <c r="L469" s="932"/>
      <c r="P469"/>
      <c r="Q469"/>
      <c r="R469"/>
      <c r="S469"/>
      <c r="T469"/>
      <c r="U469"/>
      <c r="V469"/>
      <c r="W469"/>
      <c r="X469"/>
    </row>
    <row r="470" spans="1:24" s="106" customFormat="1" ht="15.75" hidden="1" customHeight="1" outlineLevel="1">
      <c r="A470" s="932"/>
      <c r="B470" s="1086"/>
      <c r="C470" s="1095"/>
      <c r="D470" s="1091"/>
      <c r="E470" s="1091"/>
      <c r="F470" s="1093"/>
      <c r="G470" s="98"/>
      <c r="H470" s="93"/>
      <c r="I470" s="1091"/>
      <c r="J470" s="1084"/>
      <c r="K470" s="1084"/>
      <c r="L470" s="932"/>
      <c r="P470"/>
      <c r="Q470"/>
      <c r="R470"/>
      <c r="S470"/>
      <c r="T470"/>
      <c r="U470"/>
      <c r="V470"/>
      <c r="W470"/>
      <c r="X470"/>
    </row>
    <row r="471" spans="1:24" s="106" customFormat="1" ht="15.75" hidden="1" customHeight="1" outlineLevel="1">
      <c r="A471" s="932"/>
      <c r="B471" s="1087"/>
      <c r="C471" s="1096"/>
      <c r="D471" s="1092"/>
      <c r="E471" s="1092"/>
      <c r="F471" s="1094"/>
      <c r="G471" s="103"/>
      <c r="H471" s="101"/>
      <c r="I471" s="1092"/>
      <c r="J471" s="1085"/>
      <c r="K471" s="1085"/>
      <c r="L471" s="932"/>
      <c r="P471"/>
      <c r="Q471"/>
      <c r="R471"/>
      <c r="S471"/>
      <c r="T471"/>
      <c r="U471"/>
      <c r="V471"/>
      <c r="W471"/>
      <c r="X471"/>
    </row>
    <row r="472" spans="1:24" s="106" customFormat="1" ht="15.75" hidden="1" customHeight="1" outlineLevel="1">
      <c r="A472" s="932"/>
      <c r="B472" s="1086">
        <v>154</v>
      </c>
      <c r="C472" s="1095"/>
      <c r="D472" s="1091"/>
      <c r="E472" s="1091" t="s">
        <v>20</v>
      </c>
      <c r="F472" s="1093" t="str">
        <f>VLOOKUP(E472,$N$13:$O$17,2,0)</f>
        <v>-</v>
      </c>
      <c r="G472" s="95"/>
      <c r="H472" s="93"/>
      <c r="I472" s="1091"/>
      <c r="J472" s="1083"/>
      <c r="K472" s="1083"/>
      <c r="L472" s="932"/>
      <c r="P472"/>
      <c r="Q472"/>
      <c r="R472"/>
      <c r="S472"/>
      <c r="T472"/>
      <c r="U472"/>
      <c r="V472"/>
      <c r="W472"/>
      <c r="X472"/>
    </row>
    <row r="473" spans="1:24" s="106" customFormat="1" ht="15.75" hidden="1" customHeight="1" outlineLevel="1">
      <c r="A473" s="932"/>
      <c r="B473" s="1086"/>
      <c r="C473" s="1095"/>
      <c r="D473" s="1091"/>
      <c r="E473" s="1091"/>
      <c r="F473" s="1093"/>
      <c r="G473" s="98"/>
      <c r="H473" s="93"/>
      <c r="I473" s="1091"/>
      <c r="J473" s="1084"/>
      <c r="K473" s="1084"/>
      <c r="L473" s="932"/>
      <c r="P473"/>
      <c r="Q473"/>
      <c r="R473"/>
      <c r="S473"/>
      <c r="T473"/>
      <c r="U473"/>
      <c r="V473"/>
      <c r="W473"/>
      <c r="X473"/>
    </row>
    <row r="474" spans="1:24" s="106" customFormat="1" ht="15.75" hidden="1" customHeight="1" outlineLevel="1">
      <c r="A474" s="932"/>
      <c r="B474" s="1087"/>
      <c r="C474" s="1096"/>
      <c r="D474" s="1092"/>
      <c r="E474" s="1092"/>
      <c r="F474" s="1094"/>
      <c r="G474" s="103"/>
      <c r="H474" s="101"/>
      <c r="I474" s="1092"/>
      <c r="J474" s="1085"/>
      <c r="K474" s="1085"/>
      <c r="L474" s="932"/>
      <c r="P474"/>
      <c r="Q474"/>
      <c r="R474"/>
      <c r="S474"/>
      <c r="T474"/>
      <c r="U474"/>
      <c r="V474"/>
      <c r="W474"/>
      <c r="X474"/>
    </row>
    <row r="475" spans="1:24" s="106" customFormat="1" ht="15.75" hidden="1" customHeight="1" outlineLevel="1">
      <c r="A475" s="932"/>
      <c r="B475" s="1086">
        <v>155</v>
      </c>
      <c r="C475" s="1095"/>
      <c r="D475" s="1091"/>
      <c r="E475" s="1091" t="s">
        <v>20</v>
      </c>
      <c r="F475" s="1093" t="str">
        <f>VLOOKUP(E475,$N$13:$O$17,2,0)</f>
        <v>-</v>
      </c>
      <c r="G475" s="95"/>
      <c r="H475" s="93"/>
      <c r="I475" s="1091"/>
      <c r="J475" s="1083"/>
      <c r="K475" s="1083"/>
      <c r="L475" s="932"/>
      <c r="P475"/>
      <c r="Q475"/>
      <c r="R475"/>
      <c r="S475"/>
      <c r="T475"/>
      <c r="U475"/>
      <c r="V475"/>
      <c r="W475"/>
      <c r="X475"/>
    </row>
    <row r="476" spans="1:24" s="106" customFormat="1" ht="15.75" hidden="1" customHeight="1" outlineLevel="1">
      <c r="A476" s="932"/>
      <c r="B476" s="1086"/>
      <c r="C476" s="1095"/>
      <c r="D476" s="1091"/>
      <c r="E476" s="1091"/>
      <c r="F476" s="1093"/>
      <c r="G476" s="98"/>
      <c r="H476" s="93"/>
      <c r="I476" s="1091"/>
      <c r="J476" s="1084"/>
      <c r="K476" s="1084"/>
      <c r="L476" s="932"/>
      <c r="P476"/>
      <c r="Q476"/>
      <c r="R476"/>
      <c r="S476"/>
      <c r="T476"/>
      <c r="U476"/>
      <c r="V476"/>
      <c r="W476"/>
      <c r="X476"/>
    </row>
    <row r="477" spans="1:24" s="106" customFormat="1" ht="15.75" hidden="1" customHeight="1" outlineLevel="1">
      <c r="A477" s="932"/>
      <c r="B477" s="1087"/>
      <c r="C477" s="1096"/>
      <c r="D477" s="1092"/>
      <c r="E477" s="1092"/>
      <c r="F477" s="1094"/>
      <c r="G477" s="103"/>
      <c r="H477" s="101"/>
      <c r="I477" s="1092"/>
      <c r="J477" s="1085"/>
      <c r="K477" s="1085"/>
      <c r="L477" s="932"/>
      <c r="P477"/>
      <c r="Q477"/>
      <c r="R477"/>
      <c r="S477"/>
      <c r="T477"/>
      <c r="U477"/>
      <c r="V477"/>
      <c r="W477"/>
      <c r="X477"/>
    </row>
    <row r="478" spans="1:24" s="106" customFormat="1" ht="15.75" hidden="1" customHeight="1" outlineLevel="1">
      <c r="A478" s="932"/>
      <c r="B478" s="1086">
        <v>156</v>
      </c>
      <c r="C478" s="1095"/>
      <c r="D478" s="1091"/>
      <c r="E478" s="1091" t="s">
        <v>20</v>
      </c>
      <c r="F478" s="1093" t="str">
        <f>VLOOKUP(E478,$N$13:$O$17,2,0)</f>
        <v>-</v>
      </c>
      <c r="G478" s="95"/>
      <c r="H478" s="93"/>
      <c r="I478" s="1091"/>
      <c r="J478" s="1083"/>
      <c r="K478" s="1083"/>
      <c r="L478" s="932"/>
      <c r="P478"/>
      <c r="Q478"/>
      <c r="R478"/>
      <c r="S478"/>
      <c r="T478"/>
      <c r="U478"/>
      <c r="V478"/>
      <c r="W478"/>
      <c r="X478"/>
    </row>
    <row r="479" spans="1:24" s="106" customFormat="1" ht="15.75" hidden="1" customHeight="1" outlineLevel="1">
      <c r="A479" s="932"/>
      <c r="B479" s="1086"/>
      <c r="C479" s="1095"/>
      <c r="D479" s="1091"/>
      <c r="E479" s="1091"/>
      <c r="F479" s="1093"/>
      <c r="G479" s="98"/>
      <c r="H479" s="93"/>
      <c r="I479" s="1091"/>
      <c r="J479" s="1084"/>
      <c r="K479" s="1084"/>
      <c r="L479" s="932"/>
      <c r="P479"/>
      <c r="Q479"/>
      <c r="R479"/>
      <c r="S479"/>
      <c r="T479"/>
      <c r="U479"/>
      <c r="V479"/>
      <c r="W479"/>
      <c r="X479"/>
    </row>
    <row r="480" spans="1:24" s="106" customFormat="1" ht="15.75" hidden="1" customHeight="1" outlineLevel="1">
      <c r="A480" s="932"/>
      <c r="B480" s="1087"/>
      <c r="C480" s="1096"/>
      <c r="D480" s="1092"/>
      <c r="E480" s="1092"/>
      <c r="F480" s="1094"/>
      <c r="G480" s="103"/>
      <c r="H480" s="101"/>
      <c r="I480" s="1092"/>
      <c r="J480" s="1085"/>
      <c r="K480" s="1085"/>
      <c r="L480" s="932"/>
      <c r="P480"/>
      <c r="Q480"/>
      <c r="R480"/>
      <c r="S480"/>
      <c r="T480"/>
      <c r="U480"/>
      <c r="V480"/>
      <c r="W480"/>
      <c r="X480"/>
    </row>
    <row r="481" spans="1:24" s="106" customFormat="1" ht="15.75" hidden="1" customHeight="1" outlineLevel="1">
      <c r="A481" s="932"/>
      <c r="B481" s="1086">
        <v>157</v>
      </c>
      <c r="C481" s="1095"/>
      <c r="D481" s="1091"/>
      <c r="E481" s="1091" t="s">
        <v>20</v>
      </c>
      <c r="F481" s="1093" t="str">
        <f>VLOOKUP(E481,$N$13:$O$17,2,0)</f>
        <v>-</v>
      </c>
      <c r="G481" s="95"/>
      <c r="H481" s="93"/>
      <c r="I481" s="1091"/>
      <c r="J481" s="1083"/>
      <c r="K481" s="1083"/>
      <c r="L481" s="932"/>
      <c r="P481"/>
      <c r="Q481"/>
      <c r="R481"/>
      <c r="S481"/>
      <c r="T481"/>
      <c r="U481"/>
      <c r="V481"/>
      <c r="W481"/>
      <c r="X481"/>
    </row>
    <row r="482" spans="1:24" s="106" customFormat="1" ht="15.75" hidden="1" customHeight="1" outlineLevel="1">
      <c r="A482" s="932"/>
      <c r="B482" s="1086"/>
      <c r="C482" s="1095"/>
      <c r="D482" s="1091"/>
      <c r="E482" s="1091"/>
      <c r="F482" s="1093"/>
      <c r="G482" s="98"/>
      <c r="H482" s="93"/>
      <c r="I482" s="1091"/>
      <c r="J482" s="1084"/>
      <c r="K482" s="1084"/>
      <c r="L482" s="932"/>
      <c r="P482"/>
      <c r="Q482"/>
      <c r="R482"/>
      <c r="S482"/>
      <c r="T482"/>
      <c r="U482"/>
      <c r="V482"/>
      <c r="W482"/>
      <c r="X482"/>
    </row>
    <row r="483" spans="1:24" s="106" customFormat="1" ht="15.75" hidden="1" customHeight="1" outlineLevel="1">
      <c r="A483" s="932"/>
      <c r="B483" s="1087"/>
      <c r="C483" s="1096"/>
      <c r="D483" s="1092"/>
      <c r="E483" s="1092"/>
      <c r="F483" s="1094"/>
      <c r="G483" s="103"/>
      <c r="H483" s="101"/>
      <c r="I483" s="1092"/>
      <c r="J483" s="1085"/>
      <c r="K483" s="1085"/>
      <c r="L483" s="932"/>
      <c r="P483"/>
      <c r="Q483"/>
      <c r="R483"/>
      <c r="S483"/>
      <c r="T483"/>
      <c r="U483"/>
      <c r="V483"/>
      <c r="W483"/>
      <c r="X483"/>
    </row>
    <row r="484" spans="1:24" s="106" customFormat="1" ht="15.75" hidden="1" customHeight="1" outlineLevel="1">
      <c r="A484" s="932"/>
      <c r="B484" s="1086">
        <v>158</v>
      </c>
      <c r="C484" s="1095"/>
      <c r="D484" s="1091"/>
      <c r="E484" s="1091" t="s">
        <v>20</v>
      </c>
      <c r="F484" s="1093" t="str">
        <f>VLOOKUP(E484,$N$13:$O$17,2,0)</f>
        <v>-</v>
      </c>
      <c r="G484" s="95"/>
      <c r="H484" s="93"/>
      <c r="I484" s="1091"/>
      <c r="J484" s="1083"/>
      <c r="K484" s="1083"/>
      <c r="L484" s="932"/>
      <c r="P484"/>
      <c r="Q484"/>
      <c r="R484"/>
      <c r="S484"/>
      <c r="T484"/>
      <c r="U484"/>
      <c r="V484"/>
      <c r="W484"/>
      <c r="X484"/>
    </row>
    <row r="485" spans="1:24" s="106" customFormat="1" ht="15.75" hidden="1" customHeight="1" outlineLevel="1">
      <c r="A485" s="932"/>
      <c r="B485" s="1086"/>
      <c r="C485" s="1095"/>
      <c r="D485" s="1091"/>
      <c r="E485" s="1091"/>
      <c r="F485" s="1093"/>
      <c r="G485" s="98"/>
      <c r="H485" s="93"/>
      <c r="I485" s="1091"/>
      <c r="J485" s="1084"/>
      <c r="K485" s="1084"/>
      <c r="L485" s="932"/>
      <c r="P485"/>
      <c r="Q485"/>
      <c r="R485"/>
      <c r="S485"/>
      <c r="T485"/>
      <c r="U485"/>
      <c r="V485"/>
      <c r="W485"/>
      <c r="X485"/>
    </row>
    <row r="486" spans="1:24" s="106" customFormat="1" ht="15.75" hidden="1" customHeight="1" outlineLevel="1">
      <c r="A486" s="932"/>
      <c r="B486" s="1087"/>
      <c r="C486" s="1096"/>
      <c r="D486" s="1092"/>
      <c r="E486" s="1092"/>
      <c r="F486" s="1094"/>
      <c r="G486" s="103"/>
      <c r="H486" s="101"/>
      <c r="I486" s="1092"/>
      <c r="J486" s="1085"/>
      <c r="K486" s="1085"/>
      <c r="L486" s="932"/>
      <c r="P486"/>
      <c r="Q486"/>
      <c r="R486"/>
      <c r="S486"/>
      <c r="T486"/>
      <c r="U486"/>
      <c r="V486"/>
      <c r="W486"/>
      <c r="X486"/>
    </row>
    <row r="487" spans="1:24" s="106" customFormat="1" ht="15.75" hidden="1" customHeight="1" outlineLevel="1">
      <c r="A487" s="932"/>
      <c r="B487" s="1086">
        <v>159</v>
      </c>
      <c r="C487" s="1095"/>
      <c r="D487" s="1091"/>
      <c r="E487" s="1091" t="s">
        <v>20</v>
      </c>
      <c r="F487" s="1093" t="str">
        <f>VLOOKUP(E487,$N$13:$O$17,2,0)</f>
        <v>-</v>
      </c>
      <c r="G487" s="95"/>
      <c r="H487" s="93"/>
      <c r="I487" s="1091"/>
      <c r="J487" s="1083"/>
      <c r="K487" s="1083"/>
      <c r="L487" s="932"/>
      <c r="P487"/>
      <c r="Q487"/>
      <c r="R487"/>
      <c r="S487"/>
      <c r="T487"/>
      <c r="U487"/>
      <c r="V487"/>
      <c r="W487"/>
      <c r="X487"/>
    </row>
    <row r="488" spans="1:24" s="106" customFormat="1" ht="15.75" hidden="1" customHeight="1" outlineLevel="1">
      <c r="A488" s="932"/>
      <c r="B488" s="1086"/>
      <c r="C488" s="1095"/>
      <c r="D488" s="1091"/>
      <c r="E488" s="1091"/>
      <c r="F488" s="1093"/>
      <c r="G488" s="98"/>
      <c r="H488" s="93"/>
      <c r="I488" s="1091"/>
      <c r="J488" s="1084"/>
      <c r="K488" s="1084"/>
      <c r="L488" s="932"/>
      <c r="P488"/>
      <c r="Q488"/>
      <c r="R488"/>
      <c r="S488"/>
      <c r="T488"/>
      <c r="U488"/>
      <c r="V488"/>
      <c r="W488"/>
      <c r="X488"/>
    </row>
    <row r="489" spans="1:24" s="106" customFormat="1" ht="15.75" hidden="1" customHeight="1" outlineLevel="1">
      <c r="A489" s="932"/>
      <c r="B489" s="1087"/>
      <c r="C489" s="1096"/>
      <c r="D489" s="1092"/>
      <c r="E489" s="1092"/>
      <c r="F489" s="1094"/>
      <c r="G489" s="103"/>
      <c r="H489" s="101"/>
      <c r="I489" s="1092"/>
      <c r="J489" s="1085"/>
      <c r="K489" s="1085"/>
      <c r="L489" s="932"/>
      <c r="P489"/>
      <c r="Q489"/>
      <c r="R489"/>
      <c r="S489"/>
      <c r="T489"/>
      <c r="U489"/>
      <c r="V489"/>
      <c r="W489"/>
      <c r="X489"/>
    </row>
    <row r="490" spans="1:24" s="106" customFormat="1" ht="15.75" hidden="1" customHeight="1" outlineLevel="1">
      <c r="A490" s="932"/>
      <c r="B490" s="1086">
        <v>160</v>
      </c>
      <c r="C490" s="1095"/>
      <c r="D490" s="1091"/>
      <c r="E490" s="1091" t="s">
        <v>20</v>
      </c>
      <c r="F490" s="1093" t="str">
        <f>VLOOKUP(E490,$N$13:$O$17,2,0)</f>
        <v>-</v>
      </c>
      <c r="G490" s="95"/>
      <c r="H490" s="93"/>
      <c r="I490" s="1091"/>
      <c r="J490" s="1083"/>
      <c r="K490" s="1083"/>
      <c r="L490" s="932"/>
      <c r="P490"/>
      <c r="Q490"/>
      <c r="R490"/>
      <c r="S490"/>
      <c r="T490"/>
      <c r="U490"/>
      <c r="V490"/>
      <c r="W490"/>
      <c r="X490"/>
    </row>
    <row r="491" spans="1:24" s="106" customFormat="1" ht="15.75" hidden="1" customHeight="1" outlineLevel="1">
      <c r="A491" s="932"/>
      <c r="B491" s="1086"/>
      <c r="C491" s="1095"/>
      <c r="D491" s="1091"/>
      <c r="E491" s="1091"/>
      <c r="F491" s="1093"/>
      <c r="G491" s="98"/>
      <c r="H491" s="93"/>
      <c r="I491" s="1091"/>
      <c r="J491" s="1084"/>
      <c r="K491" s="1084"/>
      <c r="L491" s="932"/>
      <c r="P491"/>
      <c r="Q491"/>
      <c r="R491"/>
      <c r="S491"/>
      <c r="T491"/>
      <c r="U491"/>
      <c r="V491"/>
      <c r="W491"/>
      <c r="X491"/>
    </row>
    <row r="492" spans="1:24" s="106" customFormat="1" ht="15.75" hidden="1" customHeight="1" outlineLevel="1">
      <c r="A492" s="932"/>
      <c r="B492" s="1087"/>
      <c r="C492" s="1096"/>
      <c r="D492" s="1092"/>
      <c r="E492" s="1092"/>
      <c r="F492" s="1094"/>
      <c r="G492" s="103"/>
      <c r="H492" s="101"/>
      <c r="I492" s="1092"/>
      <c r="J492" s="1085"/>
      <c r="K492" s="1085"/>
      <c r="L492" s="932"/>
      <c r="P492"/>
      <c r="Q492"/>
      <c r="R492"/>
      <c r="S492"/>
      <c r="T492"/>
      <c r="U492"/>
      <c r="V492"/>
      <c r="W492"/>
      <c r="X492"/>
    </row>
    <row r="493" spans="1:24" s="106" customFormat="1" ht="15.75" hidden="1" customHeight="1" outlineLevel="1">
      <c r="A493" s="932"/>
      <c r="B493" s="1086">
        <v>161</v>
      </c>
      <c r="C493" s="1095"/>
      <c r="D493" s="1091"/>
      <c r="E493" s="1091" t="s">
        <v>20</v>
      </c>
      <c r="F493" s="1093" t="str">
        <f>VLOOKUP(E493,$N$13:$O$17,2,0)</f>
        <v>-</v>
      </c>
      <c r="G493" s="95"/>
      <c r="H493" s="93"/>
      <c r="I493" s="1091"/>
      <c r="J493" s="1083"/>
      <c r="K493" s="1083"/>
      <c r="L493" s="932"/>
      <c r="P493"/>
      <c r="Q493"/>
      <c r="R493"/>
      <c r="S493"/>
      <c r="T493"/>
      <c r="U493"/>
      <c r="V493"/>
      <c r="W493"/>
      <c r="X493"/>
    </row>
    <row r="494" spans="1:24" s="106" customFormat="1" ht="15.75" hidden="1" customHeight="1" outlineLevel="1">
      <c r="A494" s="932"/>
      <c r="B494" s="1086"/>
      <c r="C494" s="1095"/>
      <c r="D494" s="1091"/>
      <c r="E494" s="1091"/>
      <c r="F494" s="1093"/>
      <c r="G494" s="98"/>
      <c r="H494" s="93"/>
      <c r="I494" s="1091"/>
      <c r="J494" s="1084"/>
      <c r="K494" s="1084"/>
      <c r="L494" s="932"/>
      <c r="P494"/>
      <c r="Q494"/>
      <c r="R494"/>
      <c r="S494"/>
      <c r="T494"/>
      <c r="U494"/>
      <c r="V494"/>
      <c r="W494"/>
      <c r="X494"/>
    </row>
    <row r="495" spans="1:24" s="106" customFormat="1" ht="15.75" hidden="1" customHeight="1" outlineLevel="1">
      <c r="A495" s="932"/>
      <c r="B495" s="1087"/>
      <c r="C495" s="1096"/>
      <c r="D495" s="1092"/>
      <c r="E495" s="1092"/>
      <c r="F495" s="1094"/>
      <c r="G495" s="103"/>
      <c r="H495" s="101"/>
      <c r="I495" s="1092"/>
      <c r="J495" s="1085"/>
      <c r="K495" s="1085"/>
      <c r="L495" s="932"/>
      <c r="P495"/>
      <c r="Q495"/>
      <c r="R495"/>
      <c r="S495"/>
      <c r="T495"/>
      <c r="U495"/>
      <c r="V495"/>
      <c r="W495"/>
      <c r="X495"/>
    </row>
    <row r="496" spans="1:24" s="106" customFormat="1" ht="15.75" hidden="1" customHeight="1" outlineLevel="1">
      <c r="A496" s="932"/>
      <c r="B496" s="1086">
        <v>162</v>
      </c>
      <c r="C496" s="1095"/>
      <c r="D496" s="1091"/>
      <c r="E496" s="1091" t="s">
        <v>20</v>
      </c>
      <c r="F496" s="1093" t="str">
        <f>VLOOKUP(E496,$N$13:$O$17,2,0)</f>
        <v>-</v>
      </c>
      <c r="G496" s="95"/>
      <c r="H496" s="93"/>
      <c r="I496" s="1091"/>
      <c r="J496" s="1083"/>
      <c r="K496" s="1083"/>
      <c r="L496" s="932"/>
      <c r="P496"/>
      <c r="Q496"/>
      <c r="R496"/>
      <c r="S496"/>
      <c r="T496"/>
      <c r="U496"/>
      <c r="V496"/>
      <c r="W496"/>
      <c r="X496"/>
    </row>
    <row r="497" spans="1:24" s="106" customFormat="1" ht="15.75" hidden="1" customHeight="1" outlineLevel="1">
      <c r="A497" s="932"/>
      <c r="B497" s="1086"/>
      <c r="C497" s="1095"/>
      <c r="D497" s="1091"/>
      <c r="E497" s="1091"/>
      <c r="F497" s="1093"/>
      <c r="G497" s="98"/>
      <c r="H497" s="93"/>
      <c r="I497" s="1091"/>
      <c r="J497" s="1084"/>
      <c r="K497" s="1084"/>
      <c r="L497" s="932"/>
      <c r="P497"/>
      <c r="Q497"/>
      <c r="R497"/>
      <c r="S497"/>
      <c r="T497"/>
      <c r="U497"/>
      <c r="V497"/>
      <c r="W497"/>
      <c r="X497"/>
    </row>
    <row r="498" spans="1:24" s="106" customFormat="1" ht="15.75" hidden="1" customHeight="1" outlineLevel="1">
      <c r="A498" s="932"/>
      <c r="B498" s="1087"/>
      <c r="C498" s="1096"/>
      <c r="D498" s="1092"/>
      <c r="E498" s="1092"/>
      <c r="F498" s="1094"/>
      <c r="G498" s="103"/>
      <c r="H498" s="101"/>
      <c r="I498" s="1092"/>
      <c r="J498" s="1085"/>
      <c r="K498" s="1085"/>
      <c r="L498" s="932"/>
      <c r="P498"/>
      <c r="Q498"/>
      <c r="R498"/>
      <c r="S498"/>
      <c r="T498"/>
      <c r="U498"/>
      <c r="V498"/>
      <c r="W498"/>
      <c r="X498"/>
    </row>
    <row r="499" spans="1:24" s="106" customFormat="1" ht="15.75" hidden="1" customHeight="1" outlineLevel="1">
      <c r="A499" s="932"/>
      <c r="B499" s="1086">
        <v>163</v>
      </c>
      <c r="C499" s="1095"/>
      <c r="D499" s="1091"/>
      <c r="E499" s="1091" t="s">
        <v>20</v>
      </c>
      <c r="F499" s="1093" t="str">
        <f>VLOOKUP(E499,$N$13:$O$17,2,0)</f>
        <v>-</v>
      </c>
      <c r="G499" s="95"/>
      <c r="H499" s="93"/>
      <c r="I499" s="1091"/>
      <c r="J499" s="1083"/>
      <c r="K499" s="1083"/>
      <c r="L499" s="932"/>
      <c r="P499"/>
      <c r="Q499"/>
      <c r="R499"/>
      <c r="S499"/>
      <c r="T499"/>
      <c r="U499"/>
      <c r="V499"/>
      <c r="W499"/>
      <c r="X499"/>
    </row>
    <row r="500" spans="1:24" s="106" customFormat="1" ht="15.75" hidden="1" customHeight="1" outlineLevel="1">
      <c r="A500" s="932"/>
      <c r="B500" s="1086"/>
      <c r="C500" s="1095"/>
      <c r="D500" s="1091"/>
      <c r="E500" s="1091"/>
      <c r="F500" s="1093"/>
      <c r="G500" s="98"/>
      <c r="H500" s="93"/>
      <c r="I500" s="1091"/>
      <c r="J500" s="1084"/>
      <c r="K500" s="1084"/>
      <c r="L500" s="932"/>
      <c r="P500"/>
      <c r="Q500"/>
      <c r="R500"/>
      <c r="S500"/>
      <c r="T500"/>
      <c r="U500"/>
      <c r="V500"/>
      <c r="W500"/>
      <c r="X500"/>
    </row>
    <row r="501" spans="1:24" s="106" customFormat="1" ht="15.75" hidden="1" customHeight="1" outlineLevel="1">
      <c r="A501" s="932"/>
      <c r="B501" s="1087"/>
      <c r="C501" s="1096"/>
      <c r="D501" s="1092"/>
      <c r="E501" s="1092"/>
      <c r="F501" s="1094"/>
      <c r="G501" s="103"/>
      <c r="H501" s="101"/>
      <c r="I501" s="1092"/>
      <c r="J501" s="1085"/>
      <c r="K501" s="1085"/>
      <c r="L501" s="932"/>
      <c r="P501"/>
      <c r="Q501"/>
      <c r="R501"/>
      <c r="S501"/>
      <c r="T501"/>
      <c r="U501"/>
      <c r="V501"/>
      <c r="W501"/>
      <c r="X501"/>
    </row>
    <row r="502" spans="1:24" s="106" customFormat="1" ht="15.75" hidden="1" customHeight="1" outlineLevel="1">
      <c r="A502" s="932"/>
      <c r="B502" s="1086">
        <v>164</v>
      </c>
      <c r="C502" s="1095"/>
      <c r="D502" s="1091"/>
      <c r="E502" s="1091" t="s">
        <v>20</v>
      </c>
      <c r="F502" s="1093" t="str">
        <f>VLOOKUP(E502,$N$13:$O$17,2,0)</f>
        <v>-</v>
      </c>
      <c r="G502" s="95"/>
      <c r="H502" s="93"/>
      <c r="I502" s="1091"/>
      <c r="J502" s="1083"/>
      <c r="K502" s="1083"/>
      <c r="L502" s="932"/>
      <c r="P502"/>
      <c r="Q502"/>
      <c r="R502"/>
      <c r="S502"/>
      <c r="T502"/>
      <c r="U502"/>
      <c r="V502"/>
      <c r="W502"/>
      <c r="X502"/>
    </row>
    <row r="503" spans="1:24" s="106" customFormat="1" ht="15.75" hidden="1" customHeight="1" outlineLevel="1">
      <c r="A503" s="932"/>
      <c r="B503" s="1086"/>
      <c r="C503" s="1095"/>
      <c r="D503" s="1091"/>
      <c r="E503" s="1091"/>
      <c r="F503" s="1093"/>
      <c r="G503" s="98"/>
      <c r="H503" s="93"/>
      <c r="I503" s="1091"/>
      <c r="J503" s="1084"/>
      <c r="K503" s="1084"/>
      <c r="L503" s="932"/>
      <c r="P503"/>
      <c r="Q503"/>
      <c r="R503"/>
      <c r="S503"/>
      <c r="T503"/>
      <c r="U503"/>
      <c r="V503"/>
      <c r="W503"/>
      <c r="X503"/>
    </row>
    <row r="504" spans="1:24" s="106" customFormat="1" ht="15.75" hidden="1" customHeight="1" outlineLevel="1">
      <c r="A504" s="932"/>
      <c r="B504" s="1087"/>
      <c r="C504" s="1096"/>
      <c r="D504" s="1092"/>
      <c r="E504" s="1092"/>
      <c r="F504" s="1094"/>
      <c r="G504" s="103"/>
      <c r="H504" s="101"/>
      <c r="I504" s="1092"/>
      <c r="J504" s="1085"/>
      <c r="K504" s="1085"/>
      <c r="L504" s="932"/>
      <c r="P504"/>
      <c r="Q504"/>
      <c r="R504"/>
      <c r="S504"/>
      <c r="T504"/>
      <c r="U504"/>
      <c r="V504"/>
      <c r="W504"/>
      <c r="X504"/>
    </row>
    <row r="505" spans="1:24" s="106" customFormat="1" ht="15.75" hidden="1" customHeight="1" outlineLevel="1">
      <c r="A505" s="932"/>
      <c r="B505" s="1086">
        <v>165</v>
      </c>
      <c r="C505" s="1095"/>
      <c r="D505" s="1091"/>
      <c r="E505" s="1091" t="s">
        <v>20</v>
      </c>
      <c r="F505" s="1093" t="str">
        <f>VLOOKUP(E505,$N$13:$O$17,2,0)</f>
        <v>-</v>
      </c>
      <c r="G505" s="95"/>
      <c r="H505" s="93"/>
      <c r="I505" s="1091"/>
      <c r="J505" s="1083"/>
      <c r="K505" s="1083"/>
      <c r="L505" s="932"/>
      <c r="P505"/>
      <c r="Q505"/>
      <c r="R505"/>
      <c r="S505"/>
      <c r="T505"/>
      <c r="U505"/>
      <c r="V505"/>
      <c r="W505"/>
      <c r="X505"/>
    </row>
    <row r="506" spans="1:24" s="106" customFormat="1" ht="15.75" hidden="1" customHeight="1" outlineLevel="1">
      <c r="A506" s="932"/>
      <c r="B506" s="1086"/>
      <c r="C506" s="1095"/>
      <c r="D506" s="1091"/>
      <c r="E506" s="1091"/>
      <c r="F506" s="1093"/>
      <c r="G506" s="98"/>
      <c r="H506" s="93"/>
      <c r="I506" s="1091"/>
      <c r="J506" s="1084"/>
      <c r="K506" s="1084"/>
      <c r="L506" s="932"/>
      <c r="P506"/>
      <c r="Q506"/>
      <c r="R506"/>
      <c r="S506"/>
      <c r="T506"/>
      <c r="U506"/>
      <c r="V506"/>
      <c r="W506"/>
      <c r="X506"/>
    </row>
    <row r="507" spans="1:24" s="106" customFormat="1" ht="15.75" hidden="1" customHeight="1" outlineLevel="1">
      <c r="A507" s="932"/>
      <c r="B507" s="1087"/>
      <c r="C507" s="1096"/>
      <c r="D507" s="1092"/>
      <c r="E507" s="1092"/>
      <c r="F507" s="1094"/>
      <c r="G507" s="103"/>
      <c r="H507" s="101"/>
      <c r="I507" s="1092"/>
      <c r="J507" s="1085"/>
      <c r="K507" s="1085"/>
      <c r="L507" s="932"/>
      <c r="P507"/>
      <c r="Q507"/>
      <c r="R507"/>
      <c r="S507"/>
      <c r="T507"/>
      <c r="U507"/>
      <c r="V507"/>
      <c r="W507"/>
      <c r="X507"/>
    </row>
    <row r="508" spans="1:24" s="106" customFormat="1" ht="15.75" hidden="1" customHeight="1" outlineLevel="1">
      <c r="A508" s="932"/>
      <c r="B508" s="1086">
        <v>166</v>
      </c>
      <c r="C508" s="1095"/>
      <c r="D508" s="1091"/>
      <c r="E508" s="1091" t="s">
        <v>20</v>
      </c>
      <c r="F508" s="1093" t="str">
        <f>VLOOKUP(E508,$N$13:$O$17,2,0)</f>
        <v>-</v>
      </c>
      <c r="G508" s="95"/>
      <c r="H508" s="93"/>
      <c r="I508" s="1091"/>
      <c r="J508" s="1083"/>
      <c r="K508" s="1083"/>
      <c r="L508" s="932"/>
      <c r="P508"/>
      <c r="Q508"/>
      <c r="R508"/>
      <c r="S508"/>
      <c r="T508"/>
      <c r="U508"/>
      <c r="V508"/>
      <c r="W508"/>
      <c r="X508"/>
    </row>
    <row r="509" spans="1:24" s="106" customFormat="1" ht="15.75" hidden="1" customHeight="1" outlineLevel="1">
      <c r="A509" s="932"/>
      <c r="B509" s="1086"/>
      <c r="C509" s="1095"/>
      <c r="D509" s="1091"/>
      <c r="E509" s="1091"/>
      <c r="F509" s="1093"/>
      <c r="G509" s="98"/>
      <c r="H509" s="93"/>
      <c r="I509" s="1091"/>
      <c r="J509" s="1084"/>
      <c r="K509" s="1084"/>
      <c r="L509" s="932"/>
      <c r="P509"/>
      <c r="Q509"/>
      <c r="R509"/>
      <c r="S509"/>
      <c r="T509"/>
      <c r="U509"/>
      <c r="V509"/>
      <c r="W509"/>
      <c r="X509"/>
    </row>
    <row r="510" spans="1:24" s="106" customFormat="1" ht="15.75" hidden="1" customHeight="1" outlineLevel="1">
      <c r="A510" s="932"/>
      <c r="B510" s="1087"/>
      <c r="C510" s="1096"/>
      <c r="D510" s="1092"/>
      <c r="E510" s="1092"/>
      <c r="F510" s="1094"/>
      <c r="G510" s="103"/>
      <c r="H510" s="101"/>
      <c r="I510" s="1092"/>
      <c r="J510" s="1085"/>
      <c r="K510" s="1085"/>
      <c r="L510" s="932"/>
      <c r="P510"/>
      <c r="Q510"/>
      <c r="R510"/>
      <c r="S510"/>
      <c r="T510"/>
      <c r="U510"/>
      <c r="V510"/>
      <c r="W510"/>
      <c r="X510"/>
    </row>
    <row r="511" spans="1:24" s="106" customFormat="1" ht="15.75" hidden="1" customHeight="1" outlineLevel="1">
      <c r="A511" s="932"/>
      <c r="B511" s="1086">
        <v>167</v>
      </c>
      <c r="C511" s="1095"/>
      <c r="D511" s="1091"/>
      <c r="E511" s="1091" t="s">
        <v>20</v>
      </c>
      <c r="F511" s="1093" t="str">
        <f>VLOOKUP(E511,$N$13:$O$17,2,0)</f>
        <v>-</v>
      </c>
      <c r="G511" s="95"/>
      <c r="H511" s="93"/>
      <c r="I511" s="1091"/>
      <c r="J511" s="1083"/>
      <c r="K511" s="1083"/>
      <c r="L511" s="932"/>
      <c r="P511"/>
      <c r="Q511"/>
      <c r="R511"/>
      <c r="S511"/>
      <c r="T511"/>
      <c r="U511"/>
      <c r="V511"/>
      <c r="W511"/>
      <c r="X511"/>
    </row>
    <row r="512" spans="1:24" s="106" customFormat="1" ht="15.75" hidden="1" customHeight="1" outlineLevel="1">
      <c r="A512" s="932"/>
      <c r="B512" s="1086"/>
      <c r="C512" s="1095"/>
      <c r="D512" s="1091"/>
      <c r="E512" s="1091"/>
      <c r="F512" s="1093"/>
      <c r="G512" s="98"/>
      <c r="H512" s="93"/>
      <c r="I512" s="1091"/>
      <c r="J512" s="1084"/>
      <c r="K512" s="1084"/>
      <c r="L512" s="932"/>
      <c r="P512"/>
      <c r="Q512"/>
      <c r="R512"/>
      <c r="S512"/>
      <c r="T512"/>
      <c r="U512"/>
      <c r="V512"/>
      <c r="W512"/>
      <c r="X512"/>
    </row>
    <row r="513" spans="1:24" s="106" customFormat="1" ht="15.75" hidden="1" customHeight="1" outlineLevel="1">
      <c r="A513" s="932"/>
      <c r="B513" s="1087"/>
      <c r="C513" s="1096"/>
      <c r="D513" s="1092"/>
      <c r="E513" s="1092"/>
      <c r="F513" s="1094"/>
      <c r="G513" s="103"/>
      <c r="H513" s="101"/>
      <c r="I513" s="1092"/>
      <c r="J513" s="1085"/>
      <c r="K513" s="1085"/>
      <c r="L513" s="932"/>
      <c r="P513"/>
      <c r="Q513"/>
      <c r="R513"/>
      <c r="S513"/>
      <c r="T513"/>
      <c r="U513"/>
      <c r="V513"/>
      <c r="W513"/>
      <c r="X513"/>
    </row>
    <row r="514" spans="1:24" s="106" customFormat="1" ht="15.75" hidden="1" customHeight="1" outlineLevel="1">
      <c r="A514" s="932"/>
      <c r="B514" s="1086">
        <v>168</v>
      </c>
      <c r="C514" s="1095"/>
      <c r="D514" s="1091"/>
      <c r="E514" s="1091" t="s">
        <v>20</v>
      </c>
      <c r="F514" s="1093" t="str">
        <f>VLOOKUP(E514,$N$13:$O$17,2,0)</f>
        <v>-</v>
      </c>
      <c r="G514" s="95"/>
      <c r="H514" s="93"/>
      <c r="I514" s="1091"/>
      <c r="J514" s="1083"/>
      <c r="K514" s="1083"/>
      <c r="L514" s="932"/>
      <c r="P514"/>
      <c r="Q514"/>
      <c r="R514"/>
      <c r="S514"/>
      <c r="T514"/>
      <c r="U514"/>
      <c r="V514"/>
      <c r="W514"/>
      <c r="X514"/>
    </row>
    <row r="515" spans="1:24" s="106" customFormat="1" ht="15.75" hidden="1" customHeight="1" outlineLevel="1">
      <c r="A515" s="932"/>
      <c r="B515" s="1086"/>
      <c r="C515" s="1095"/>
      <c r="D515" s="1091"/>
      <c r="E515" s="1091"/>
      <c r="F515" s="1093"/>
      <c r="G515" s="98"/>
      <c r="H515" s="93"/>
      <c r="I515" s="1091"/>
      <c r="J515" s="1084"/>
      <c r="K515" s="1084"/>
      <c r="L515" s="932"/>
      <c r="P515"/>
      <c r="Q515"/>
      <c r="R515"/>
      <c r="S515"/>
      <c r="T515"/>
      <c r="U515"/>
      <c r="V515"/>
      <c r="W515"/>
      <c r="X515"/>
    </row>
    <row r="516" spans="1:24" s="106" customFormat="1" ht="15.75" hidden="1" customHeight="1" outlineLevel="1">
      <c r="A516" s="932"/>
      <c r="B516" s="1087"/>
      <c r="C516" s="1096"/>
      <c r="D516" s="1092"/>
      <c r="E516" s="1092"/>
      <c r="F516" s="1094"/>
      <c r="G516" s="103"/>
      <c r="H516" s="101"/>
      <c r="I516" s="1092"/>
      <c r="J516" s="1085"/>
      <c r="K516" s="1085"/>
      <c r="L516" s="932"/>
      <c r="P516"/>
      <c r="Q516"/>
      <c r="R516"/>
      <c r="S516"/>
      <c r="T516"/>
      <c r="U516"/>
      <c r="V516"/>
      <c r="W516"/>
      <c r="X516"/>
    </row>
    <row r="517" spans="1:24" s="106" customFormat="1" ht="15.75" hidden="1" customHeight="1" outlineLevel="1">
      <c r="A517" s="932"/>
      <c r="B517" s="1086">
        <v>169</v>
      </c>
      <c r="C517" s="1095"/>
      <c r="D517" s="1091"/>
      <c r="E517" s="1091" t="s">
        <v>20</v>
      </c>
      <c r="F517" s="1093" t="str">
        <f>VLOOKUP(E517,$N$13:$O$17,2,0)</f>
        <v>-</v>
      </c>
      <c r="G517" s="95"/>
      <c r="H517" s="93"/>
      <c r="I517" s="1091"/>
      <c r="J517" s="1083"/>
      <c r="K517" s="1083"/>
      <c r="L517" s="932"/>
      <c r="P517"/>
      <c r="Q517"/>
      <c r="R517"/>
      <c r="S517"/>
      <c r="T517"/>
      <c r="U517"/>
      <c r="V517"/>
      <c r="W517"/>
      <c r="X517"/>
    </row>
    <row r="518" spans="1:24" s="106" customFormat="1" ht="15.75" hidden="1" customHeight="1" outlineLevel="1">
      <c r="A518" s="932"/>
      <c r="B518" s="1086"/>
      <c r="C518" s="1095"/>
      <c r="D518" s="1091"/>
      <c r="E518" s="1091"/>
      <c r="F518" s="1093"/>
      <c r="G518" s="98"/>
      <c r="H518" s="93"/>
      <c r="I518" s="1091"/>
      <c r="J518" s="1084"/>
      <c r="K518" s="1084"/>
      <c r="L518" s="932"/>
      <c r="P518"/>
      <c r="Q518"/>
      <c r="R518"/>
      <c r="S518"/>
      <c r="T518"/>
      <c r="U518"/>
      <c r="V518"/>
      <c r="W518"/>
      <c r="X518"/>
    </row>
    <row r="519" spans="1:24" s="106" customFormat="1" ht="15.75" hidden="1" customHeight="1" outlineLevel="1">
      <c r="A519" s="932"/>
      <c r="B519" s="1087"/>
      <c r="C519" s="1096"/>
      <c r="D519" s="1092"/>
      <c r="E519" s="1092"/>
      <c r="F519" s="1094"/>
      <c r="G519" s="103"/>
      <c r="H519" s="101"/>
      <c r="I519" s="1092"/>
      <c r="J519" s="1085"/>
      <c r="K519" s="1085"/>
      <c r="L519" s="932"/>
      <c r="P519"/>
      <c r="Q519"/>
      <c r="R519"/>
      <c r="S519"/>
      <c r="T519"/>
      <c r="U519"/>
      <c r="V519"/>
      <c r="W519"/>
      <c r="X519"/>
    </row>
    <row r="520" spans="1:24" s="106" customFormat="1" ht="15.75" hidden="1" customHeight="1" outlineLevel="1">
      <c r="A520" s="932"/>
      <c r="B520" s="1086">
        <v>170</v>
      </c>
      <c r="C520" s="1095"/>
      <c r="D520" s="1091"/>
      <c r="E520" s="1091" t="s">
        <v>20</v>
      </c>
      <c r="F520" s="1093" t="str">
        <f>VLOOKUP(E520,$N$13:$O$17,2,0)</f>
        <v>-</v>
      </c>
      <c r="G520" s="95"/>
      <c r="H520" s="93"/>
      <c r="I520" s="1091"/>
      <c r="J520" s="1083"/>
      <c r="K520" s="1083"/>
      <c r="L520" s="932"/>
      <c r="P520"/>
      <c r="Q520"/>
      <c r="R520"/>
      <c r="S520"/>
      <c r="T520"/>
      <c r="U520"/>
      <c r="V520"/>
      <c r="W520"/>
      <c r="X520"/>
    </row>
    <row r="521" spans="1:24" s="106" customFormat="1" ht="15.75" hidden="1" customHeight="1" outlineLevel="1">
      <c r="A521" s="932"/>
      <c r="B521" s="1086"/>
      <c r="C521" s="1095"/>
      <c r="D521" s="1091"/>
      <c r="E521" s="1091"/>
      <c r="F521" s="1093"/>
      <c r="G521" s="98"/>
      <c r="H521" s="93"/>
      <c r="I521" s="1091"/>
      <c r="J521" s="1084"/>
      <c r="K521" s="1084"/>
      <c r="L521" s="932"/>
      <c r="P521"/>
      <c r="Q521"/>
      <c r="R521"/>
      <c r="S521"/>
      <c r="T521"/>
      <c r="U521"/>
      <c r="V521"/>
      <c r="W521"/>
      <c r="X521"/>
    </row>
    <row r="522" spans="1:24" s="106" customFormat="1" ht="15.75" hidden="1" customHeight="1" outlineLevel="1">
      <c r="A522" s="932"/>
      <c r="B522" s="1087"/>
      <c r="C522" s="1096"/>
      <c r="D522" s="1092"/>
      <c r="E522" s="1092"/>
      <c r="F522" s="1094"/>
      <c r="G522" s="103"/>
      <c r="H522" s="101"/>
      <c r="I522" s="1092"/>
      <c r="J522" s="1085"/>
      <c r="K522" s="1085"/>
      <c r="L522" s="932"/>
      <c r="P522"/>
      <c r="Q522"/>
      <c r="R522"/>
      <c r="S522"/>
      <c r="T522"/>
      <c r="U522"/>
      <c r="V522"/>
      <c r="W522"/>
      <c r="X522"/>
    </row>
    <row r="523" spans="1:24" s="106" customFormat="1" ht="15.75" hidden="1" customHeight="1" outlineLevel="1">
      <c r="A523" s="932"/>
      <c r="B523" s="1086">
        <v>171</v>
      </c>
      <c r="C523" s="1095"/>
      <c r="D523" s="1091"/>
      <c r="E523" s="1091" t="s">
        <v>20</v>
      </c>
      <c r="F523" s="1093" t="str">
        <f>VLOOKUP(E523,$N$13:$O$17,2,0)</f>
        <v>-</v>
      </c>
      <c r="G523" s="95"/>
      <c r="H523" s="93"/>
      <c r="I523" s="1091"/>
      <c r="J523" s="1083"/>
      <c r="K523" s="1083"/>
      <c r="L523" s="932"/>
      <c r="P523"/>
      <c r="Q523"/>
      <c r="R523"/>
      <c r="S523"/>
      <c r="T523"/>
      <c r="U523"/>
      <c r="V523"/>
      <c r="W523"/>
      <c r="X523"/>
    </row>
    <row r="524" spans="1:24" s="106" customFormat="1" ht="15.75" hidden="1" customHeight="1" outlineLevel="1">
      <c r="A524" s="932"/>
      <c r="B524" s="1086"/>
      <c r="C524" s="1095"/>
      <c r="D524" s="1091"/>
      <c r="E524" s="1091"/>
      <c r="F524" s="1093"/>
      <c r="G524" s="98"/>
      <c r="H524" s="93"/>
      <c r="I524" s="1091"/>
      <c r="J524" s="1084"/>
      <c r="K524" s="1084"/>
      <c r="L524" s="932"/>
      <c r="P524"/>
      <c r="Q524"/>
      <c r="R524"/>
      <c r="S524"/>
      <c r="T524"/>
      <c r="U524"/>
      <c r="V524"/>
      <c r="W524"/>
      <c r="X524"/>
    </row>
    <row r="525" spans="1:24" s="106" customFormat="1" ht="15.75" hidden="1" customHeight="1" outlineLevel="1">
      <c r="A525" s="932"/>
      <c r="B525" s="1087"/>
      <c r="C525" s="1096"/>
      <c r="D525" s="1092"/>
      <c r="E525" s="1092"/>
      <c r="F525" s="1094"/>
      <c r="G525" s="103"/>
      <c r="H525" s="101"/>
      <c r="I525" s="1092"/>
      <c r="J525" s="1085"/>
      <c r="K525" s="1085"/>
      <c r="L525" s="932"/>
      <c r="P525"/>
      <c r="Q525"/>
      <c r="R525"/>
      <c r="S525"/>
      <c r="T525"/>
      <c r="U525"/>
      <c r="V525"/>
      <c r="W525"/>
      <c r="X525"/>
    </row>
    <row r="526" spans="1:24" s="106" customFormat="1" ht="15.75" hidden="1" customHeight="1" outlineLevel="1">
      <c r="A526" s="932"/>
      <c r="B526" s="1086">
        <v>172</v>
      </c>
      <c r="C526" s="1095"/>
      <c r="D526" s="1091"/>
      <c r="E526" s="1091" t="s">
        <v>20</v>
      </c>
      <c r="F526" s="1093" t="str">
        <f>VLOOKUP(E526,$N$13:$O$17,2,0)</f>
        <v>-</v>
      </c>
      <c r="G526" s="95"/>
      <c r="H526" s="93"/>
      <c r="I526" s="1091"/>
      <c r="J526" s="1083"/>
      <c r="K526" s="1083"/>
      <c r="L526" s="932"/>
      <c r="P526"/>
      <c r="Q526"/>
      <c r="R526"/>
      <c r="S526"/>
      <c r="T526"/>
      <c r="U526"/>
      <c r="V526"/>
      <c r="W526"/>
      <c r="X526"/>
    </row>
    <row r="527" spans="1:24" s="106" customFormat="1" ht="15.75" hidden="1" customHeight="1" outlineLevel="1">
      <c r="A527" s="932"/>
      <c r="B527" s="1086"/>
      <c r="C527" s="1095"/>
      <c r="D527" s="1091"/>
      <c r="E527" s="1091"/>
      <c r="F527" s="1093"/>
      <c r="G527" s="98"/>
      <c r="H527" s="93"/>
      <c r="I527" s="1091"/>
      <c r="J527" s="1084"/>
      <c r="K527" s="1084"/>
      <c r="L527" s="932"/>
      <c r="P527"/>
      <c r="Q527"/>
      <c r="R527"/>
      <c r="S527"/>
      <c r="T527"/>
      <c r="U527"/>
      <c r="V527"/>
      <c r="W527"/>
      <c r="X527"/>
    </row>
    <row r="528" spans="1:24" s="106" customFormat="1" ht="15.75" hidden="1" customHeight="1" outlineLevel="1">
      <c r="A528" s="932"/>
      <c r="B528" s="1087"/>
      <c r="C528" s="1096"/>
      <c r="D528" s="1092"/>
      <c r="E528" s="1092"/>
      <c r="F528" s="1094"/>
      <c r="G528" s="103"/>
      <c r="H528" s="101"/>
      <c r="I528" s="1092"/>
      <c r="J528" s="1085"/>
      <c r="K528" s="1085"/>
      <c r="L528" s="932"/>
      <c r="P528"/>
      <c r="Q528"/>
      <c r="R528"/>
      <c r="S528"/>
      <c r="T528"/>
      <c r="U528"/>
      <c r="V528"/>
      <c r="W528"/>
      <c r="X528"/>
    </row>
    <row r="529" spans="1:24" s="106" customFormat="1" ht="15.75" hidden="1" customHeight="1" outlineLevel="1">
      <c r="A529" s="932"/>
      <c r="B529" s="1086">
        <v>173</v>
      </c>
      <c r="C529" s="1095"/>
      <c r="D529" s="1091"/>
      <c r="E529" s="1091" t="s">
        <v>20</v>
      </c>
      <c r="F529" s="1093" t="str">
        <f>VLOOKUP(E529,$N$13:$O$17,2,0)</f>
        <v>-</v>
      </c>
      <c r="G529" s="95"/>
      <c r="H529" s="93"/>
      <c r="I529" s="1091"/>
      <c r="J529" s="1083"/>
      <c r="K529" s="1083"/>
      <c r="L529" s="932"/>
      <c r="P529"/>
      <c r="Q529"/>
      <c r="R529"/>
      <c r="S529"/>
      <c r="T529"/>
      <c r="U529"/>
      <c r="V529"/>
      <c r="W529"/>
      <c r="X529"/>
    </row>
    <row r="530" spans="1:24" s="106" customFormat="1" ht="15.75" hidden="1" customHeight="1" outlineLevel="1">
      <c r="A530" s="932"/>
      <c r="B530" s="1086"/>
      <c r="C530" s="1095"/>
      <c r="D530" s="1091"/>
      <c r="E530" s="1091"/>
      <c r="F530" s="1093"/>
      <c r="G530" s="98"/>
      <c r="H530" s="93"/>
      <c r="I530" s="1091"/>
      <c r="J530" s="1084"/>
      <c r="K530" s="1084"/>
      <c r="L530" s="932"/>
      <c r="P530"/>
      <c r="Q530"/>
      <c r="R530"/>
      <c r="S530"/>
      <c r="T530"/>
      <c r="U530"/>
      <c r="V530"/>
      <c r="W530"/>
      <c r="X530"/>
    </row>
    <row r="531" spans="1:24" s="106" customFormat="1" ht="15.75" hidden="1" customHeight="1" outlineLevel="1">
      <c r="A531" s="932"/>
      <c r="B531" s="1087"/>
      <c r="C531" s="1096"/>
      <c r="D531" s="1092"/>
      <c r="E531" s="1092"/>
      <c r="F531" s="1094"/>
      <c r="G531" s="103"/>
      <c r="H531" s="101"/>
      <c r="I531" s="1092"/>
      <c r="J531" s="1085"/>
      <c r="K531" s="1085"/>
      <c r="L531" s="932"/>
      <c r="P531"/>
      <c r="Q531"/>
      <c r="R531"/>
      <c r="S531"/>
      <c r="T531"/>
      <c r="U531"/>
      <c r="V531"/>
      <c r="W531"/>
      <c r="X531"/>
    </row>
    <row r="532" spans="1:24" s="106" customFormat="1" ht="15.75" hidden="1" customHeight="1" outlineLevel="1">
      <c r="A532" s="932"/>
      <c r="B532" s="1086">
        <v>174</v>
      </c>
      <c r="C532" s="1095"/>
      <c r="D532" s="1091"/>
      <c r="E532" s="1091" t="s">
        <v>20</v>
      </c>
      <c r="F532" s="1093" t="str">
        <f>VLOOKUP(E532,$N$13:$O$17,2,0)</f>
        <v>-</v>
      </c>
      <c r="G532" s="95"/>
      <c r="H532" s="93"/>
      <c r="I532" s="1091"/>
      <c r="J532" s="1083"/>
      <c r="K532" s="1083"/>
      <c r="L532" s="932"/>
      <c r="P532"/>
      <c r="Q532"/>
      <c r="R532"/>
      <c r="S532"/>
      <c r="T532"/>
      <c r="U532"/>
      <c r="V532"/>
      <c r="W532"/>
      <c r="X532"/>
    </row>
    <row r="533" spans="1:24" s="106" customFormat="1" ht="15.75" hidden="1" customHeight="1" outlineLevel="1">
      <c r="A533" s="932"/>
      <c r="B533" s="1086"/>
      <c r="C533" s="1095"/>
      <c r="D533" s="1091"/>
      <c r="E533" s="1091"/>
      <c r="F533" s="1093"/>
      <c r="G533" s="98"/>
      <c r="H533" s="93"/>
      <c r="I533" s="1091"/>
      <c r="J533" s="1084"/>
      <c r="K533" s="1084"/>
      <c r="L533" s="932"/>
      <c r="P533"/>
      <c r="Q533"/>
      <c r="R533"/>
      <c r="S533"/>
      <c r="T533"/>
      <c r="U533"/>
      <c r="V533"/>
      <c r="W533"/>
      <c r="X533"/>
    </row>
    <row r="534" spans="1:24" s="106" customFormat="1" ht="15.75" hidden="1" customHeight="1" outlineLevel="1">
      <c r="A534" s="932"/>
      <c r="B534" s="1087"/>
      <c r="C534" s="1096"/>
      <c r="D534" s="1092"/>
      <c r="E534" s="1092"/>
      <c r="F534" s="1094"/>
      <c r="G534" s="103"/>
      <c r="H534" s="101"/>
      <c r="I534" s="1092"/>
      <c r="J534" s="1085"/>
      <c r="K534" s="1085"/>
      <c r="L534" s="932"/>
      <c r="P534"/>
      <c r="Q534"/>
      <c r="R534"/>
      <c r="S534"/>
      <c r="T534"/>
      <c r="U534"/>
      <c r="V534"/>
      <c r="W534"/>
      <c r="X534"/>
    </row>
    <row r="535" spans="1:24" s="106" customFormat="1" ht="15.75" hidden="1" customHeight="1" outlineLevel="1">
      <c r="A535" s="932"/>
      <c r="B535" s="1086">
        <v>175</v>
      </c>
      <c r="C535" s="1095"/>
      <c r="D535" s="1091"/>
      <c r="E535" s="1091" t="s">
        <v>20</v>
      </c>
      <c r="F535" s="1093" t="str">
        <f>VLOOKUP(E535,$N$13:$O$17,2,0)</f>
        <v>-</v>
      </c>
      <c r="G535" s="95"/>
      <c r="H535" s="93"/>
      <c r="I535" s="1091"/>
      <c r="J535" s="1083"/>
      <c r="K535" s="1083"/>
      <c r="L535" s="932"/>
      <c r="P535"/>
      <c r="Q535"/>
      <c r="R535"/>
      <c r="S535"/>
      <c r="T535"/>
      <c r="U535"/>
      <c r="V535"/>
      <c r="W535"/>
      <c r="X535"/>
    </row>
    <row r="536" spans="1:24" s="106" customFormat="1" ht="15.75" hidden="1" customHeight="1" outlineLevel="1">
      <c r="A536" s="932"/>
      <c r="B536" s="1086"/>
      <c r="C536" s="1095"/>
      <c r="D536" s="1091"/>
      <c r="E536" s="1091"/>
      <c r="F536" s="1093"/>
      <c r="G536" s="98"/>
      <c r="H536" s="93"/>
      <c r="I536" s="1091"/>
      <c r="J536" s="1084"/>
      <c r="K536" s="1084"/>
      <c r="L536" s="932"/>
      <c r="P536"/>
      <c r="Q536"/>
      <c r="R536"/>
      <c r="S536"/>
      <c r="T536"/>
      <c r="U536"/>
      <c r="V536"/>
      <c r="W536"/>
      <c r="X536"/>
    </row>
    <row r="537" spans="1:24" s="106" customFormat="1" ht="15.75" hidden="1" customHeight="1" outlineLevel="1">
      <c r="A537" s="932"/>
      <c r="B537" s="1087"/>
      <c r="C537" s="1096"/>
      <c r="D537" s="1092"/>
      <c r="E537" s="1092"/>
      <c r="F537" s="1094"/>
      <c r="G537" s="103"/>
      <c r="H537" s="101"/>
      <c r="I537" s="1092"/>
      <c r="J537" s="1085"/>
      <c r="K537" s="1085"/>
      <c r="L537" s="932"/>
      <c r="P537"/>
      <c r="Q537"/>
      <c r="R537"/>
      <c r="S537"/>
      <c r="T537"/>
      <c r="U537"/>
      <c r="V537"/>
      <c r="W537"/>
      <c r="X537"/>
    </row>
    <row r="538" spans="1:24" s="106" customFormat="1" ht="15.75" hidden="1" customHeight="1" outlineLevel="1">
      <c r="A538" s="932"/>
      <c r="B538" s="1086">
        <v>176</v>
      </c>
      <c r="C538" s="1095"/>
      <c r="D538" s="1091"/>
      <c r="E538" s="1091" t="s">
        <v>20</v>
      </c>
      <c r="F538" s="1093" t="str">
        <f>VLOOKUP(E538,$N$13:$O$17,2,0)</f>
        <v>-</v>
      </c>
      <c r="G538" s="95"/>
      <c r="H538" s="93"/>
      <c r="I538" s="1091"/>
      <c r="J538" s="1083"/>
      <c r="K538" s="1083"/>
      <c r="L538" s="932"/>
      <c r="P538"/>
      <c r="Q538"/>
      <c r="R538"/>
      <c r="S538"/>
      <c r="T538"/>
      <c r="U538"/>
      <c r="V538"/>
      <c r="W538"/>
      <c r="X538"/>
    </row>
    <row r="539" spans="1:24" s="106" customFormat="1" ht="15.75" hidden="1" customHeight="1" outlineLevel="1">
      <c r="A539" s="932"/>
      <c r="B539" s="1086"/>
      <c r="C539" s="1095"/>
      <c r="D539" s="1091"/>
      <c r="E539" s="1091"/>
      <c r="F539" s="1093"/>
      <c r="G539" s="98"/>
      <c r="H539" s="93"/>
      <c r="I539" s="1091"/>
      <c r="J539" s="1084"/>
      <c r="K539" s="1084"/>
      <c r="L539" s="932"/>
      <c r="P539"/>
      <c r="Q539"/>
      <c r="R539"/>
      <c r="S539"/>
      <c r="T539"/>
      <c r="U539"/>
      <c r="V539"/>
      <c r="W539"/>
      <c r="X539"/>
    </row>
    <row r="540" spans="1:24" s="106" customFormat="1" ht="15.75" hidden="1" customHeight="1" outlineLevel="1">
      <c r="A540" s="932"/>
      <c r="B540" s="1087"/>
      <c r="C540" s="1096"/>
      <c r="D540" s="1092"/>
      <c r="E540" s="1092"/>
      <c r="F540" s="1094"/>
      <c r="G540" s="103"/>
      <c r="H540" s="101"/>
      <c r="I540" s="1092"/>
      <c r="J540" s="1085"/>
      <c r="K540" s="1085"/>
      <c r="L540" s="932"/>
      <c r="P540"/>
      <c r="Q540"/>
      <c r="R540"/>
      <c r="S540"/>
      <c r="T540"/>
      <c r="U540"/>
      <c r="V540"/>
      <c r="W540"/>
      <c r="X540"/>
    </row>
    <row r="541" spans="1:24" s="106" customFormat="1" ht="15.75" hidden="1" customHeight="1" outlineLevel="1">
      <c r="A541" s="932"/>
      <c r="B541" s="1086">
        <v>177</v>
      </c>
      <c r="C541" s="1095"/>
      <c r="D541" s="1091"/>
      <c r="E541" s="1091" t="s">
        <v>20</v>
      </c>
      <c r="F541" s="1093" t="str">
        <f>VLOOKUP(E541,$N$13:$O$17,2,0)</f>
        <v>-</v>
      </c>
      <c r="G541" s="95"/>
      <c r="H541" s="93"/>
      <c r="I541" s="1091"/>
      <c r="J541" s="1083"/>
      <c r="K541" s="1083"/>
      <c r="L541" s="932"/>
      <c r="P541"/>
      <c r="Q541"/>
      <c r="R541"/>
      <c r="S541"/>
      <c r="T541"/>
      <c r="U541"/>
      <c r="V541"/>
      <c r="W541"/>
      <c r="X541"/>
    </row>
    <row r="542" spans="1:24" s="106" customFormat="1" ht="15.75" hidden="1" customHeight="1" outlineLevel="1">
      <c r="A542" s="932"/>
      <c r="B542" s="1086"/>
      <c r="C542" s="1095"/>
      <c r="D542" s="1091"/>
      <c r="E542" s="1091"/>
      <c r="F542" s="1093"/>
      <c r="G542" s="98"/>
      <c r="H542" s="93"/>
      <c r="I542" s="1091"/>
      <c r="J542" s="1084"/>
      <c r="K542" s="1084"/>
      <c r="L542" s="932"/>
      <c r="P542"/>
      <c r="Q542"/>
      <c r="R542"/>
      <c r="S542"/>
      <c r="T542"/>
      <c r="U542"/>
      <c r="V542"/>
      <c r="W542"/>
      <c r="X542"/>
    </row>
    <row r="543" spans="1:24" s="106" customFormat="1" ht="15.75" hidden="1" customHeight="1" outlineLevel="1">
      <c r="A543" s="932"/>
      <c r="B543" s="1087"/>
      <c r="C543" s="1096"/>
      <c r="D543" s="1092"/>
      <c r="E543" s="1092"/>
      <c r="F543" s="1094"/>
      <c r="G543" s="103"/>
      <c r="H543" s="101"/>
      <c r="I543" s="1092"/>
      <c r="J543" s="1085"/>
      <c r="K543" s="1085"/>
      <c r="L543" s="932"/>
      <c r="P543"/>
      <c r="Q543"/>
      <c r="R543"/>
      <c r="S543"/>
      <c r="T543"/>
      <c r="U543"/>
      <c r="V543"/>
      <c r="W543"/>
      <c r="X543"/>
    </row>
    <row r="544" spans="1:24" s="106" customFormat="1" ht="15.75" hidden="1" customHeight="1" outlineLevel="1">
      <c r="A544" s="932"/>
      <c r="B544" s="1086">
        <v>178</v>
      </c>
      <c r="C544" s="1095"/>
      <c r="D544" s="1091"/>
      <c r="E544" s="1091" t="s">
        <v>20</v>
      </c>
      <c r="F544" s="1093" t="str">
        <f>VLOOKUP(E544,$N$13:$O$17,2,0)</f>
        <v>-</v>
      </c>
      <c r="G544" s="95"/>
      <c r="H544" s="93"/>
      <c r="I544" s="1091"/>
      <c r="J544" s="1083"/>
      <c r="K544" s="1083"/>
      <c r="L544" s="932"/>
      <c r="P544"/>
      <c r="Q544"/>
      <c r="R544"/>
      <c r="S544"/>
      <c r="T544"/>
      <c r="U544"/>
      <c r="V544"/>
      <c r="W544"/>
      <c r="X544"/>
    </row>
    <row r="545" spans="1:24" s="106" customFormat="1" ht="15.75" hidden="1" customHeight="1" outlineLevel="1">
      <c r="A545" s="932"/>
      <c r="B545" s="1086"/>
      <c r="C545" s="1095"/>
      <c r="D545" s="1091"/>
      <c r="E545" s="1091"/>
      <c r="F545" s="1093"/>
      <c r="G545" s="98"/>
      <c r="H545" s="93"/>
      <c r="I545" s="1091"/>
      <c r="J545" s="1084"/>
      <c r="K545" s="1084"/>
      <c r="L545" s="932"/>
      <c r="P545"/>
      <c r="Q545"/>
      <c r="R545"/>
      <c r="S545"/>
      <c r="T545"/>
      <c r="U545"/>
      <c r="V545"/>
      <c r="W545"/>
      <c r="X545"/>
    </row>
    <row r="546" spans="1:24" s="106" customFormat="1" ht="15.75" hidden="1" customHeight="1" outlineLevel="1">
      <c r="A546" s="932"/>
      <c r="B546" s="1087"/>
      <c r="C546" s="1096"/>
      <c r="D546" s="1092"/>
      <c r="E546" s="1092"/>
      <c r="F546" s="1094"/>
      <c r="G546" s="103"/>
      <c r="H546" s="101"/>
      <c r="I546" s="1092"/>
      <c r="J546" s="1085"/>
      <c r="K546" s="1085"/>
      <c r="L546" s="932"/>
      <c r="P546"/>
      <c r="Q546"/>
      <c r="R546"/>
      <c r="S546"/>
      <c r="T546"/>
      <c r="U546"/>
      <c r="V546"/>
      <c r="W546"/>
      <c r="X546"/>
    </row>
    <row r="547" spans="1:24" s="106" customFormat="1" ht="15.75" hidden="1" customHeight="1" outlineLevel="1">
      <c r="A547" s="932"/>
      <c r="B547" s="1086">
        <v>179</v>
      </c>
      <c r="C547" s="1095"/>
      <c r="D547" s="1091"/>
      <c r="E547" s="1091" t="s">
        <v>20</v>
      </c>
      <c r="F547" s="1093" t="str">
        <f>VLOOKUP(E547,$N$13:$O$17,2,0)</f>
        <v>-</v>
      </c>
      <c r="G547" s="95"/>
      <c r="H547" s="93"/>
      <c r="I547" s="1091"/>
      <c r="J547" s="1083"/>
      <c r="K547" s="1083"/>
      <c r="L547" s="932"/>
      <c r="P547"/>
      <c r="Q547"/>
      <c r="R547"/>
      <c r="S547"/>
      <c r="T547"/>
      <c r="U547"/>
      <c r="V547"/>
      <c r="W547"/>
      <c r="X547"/>
    </row>
    <row r="548" spans="1:24" s="106" customFormat="1" ht="15.75" hidden="1" customHeight="1" outlineLevel="1">
      <c r="A548" s="932"/>
      <c r="B548" s="1086"/>
      <c r="C548" s="1095"/>
      <c r="D548" s="1091"/>
      <c r="E548" s="1091"/>
      <c r="F548" s="1093"/>
      <c r="G548" s="98"/>
      <c r="H548" s="93"/>
      <c r="I548" s="1091"/>
      <c r="J548" s="1084"/>
      <c r="K548" s="1084"/>
      <c r="L548" s="932"/>
      <c r="P548"/>
      <c r="Q548"/>
      <c r="R548"/>
      <c r="S548"/>
      <c r="T548"/>
      <c r="U548"/>
      <c r="V548"/>
      <c r="W548"/>
      <c r="X548"/>
    </row>
    <row r="549" spans="1:24" s="106" customFormat="1" ht="15.75" hidden="1" customHeight="1" outlineLevel="1">
      <c r="A549" s="932"/>
      <c r="B549" s="1087"/>
      <c r="C549" s="1096"/>
      <c r="D549" s="1092"/>
      <c r="E549" s="1092"/>
      <c r="F549" s="1094"/>
      <c r="G549" s="103"/>
      <c r="H549" s="101"/>
      <c r="I549" s="1092"/>
      <c r="J549" s="1085"/>
      <c r="K549" s="1085"/>
      <c r="L549" s="932"/>
      <c r="P549"/>
      <c r="Q549"/>
      <c r="R549"/>
      <c r="S549"/>
      <c r="T549"/>
      <c r="U549"/>
      <c r="V549"/>
      <c r="W549"/>
      <c r="X549"/>
    </row>
    <row r="550" spans="1:24" s="106" customFormat="1" ht="15.75" hidden="1" customHeight="1" outlineLevel="1">
      <c r="A550" s="932"/>
      <c r="B550" s="1086">
        <v>180</v>
      </c>
      <c r="C550" s="1095"/>
      <c r="D550" s="1091"/>
      <c r="E550" s="1091" t="s">
        <v>20</v>
      </c>
      <c r="F550" s="1093" t="str">
        <f>VLOOKUP(E550,$N$13:$O$17,2,0)</f>
        <v>-</v>
      </c>
      <c r="G550" s="95"/>
      <c r="H550" s="93"/>
      <c r="I550" s="1091"/>
      <c r="J550" s="1083"/>
      <c r="K550" s="1083"/>
      <c r="L550" s="932"/>
      <c r="P550"/>
      <c r="Q550"/>
      <c r="R550"/>
      <c r="S550"/>
      <c r="T550"/>
      <c r="U550"/>
      <c r="V550"/>
      <c r="W550"/>
      <c r="X550"/>
    </row>
    <row r="551" spans="1:24" s="106" customFormat="1" ht="15.75" hidden="1" customHeight="1" outlineLevel="1">
      <c r="A551" s="932"/>
      <c r="B551" s="1086"/>
      <c r="C551" s="1095"/>
      <c r="D551" s="1091"/>
      <c r="E551" s="1091"/>
      <c r="F551" s="1093"/>
      <c r="G551" s="98"/>
      <c r="H551" s="93"/>
      <c r="I551" s="1091"/>
      <c r="J551" s="1084"/>
      <c r="K551" s="1084"/>
      <c r="L551" s="932"/>
      <c r="P551"/>
      <c r="Q551"/>
      <c r="R551"/>
      <c r="S551"/>
      <c r="T551"/>
      <c r="U551"/>
      <c r="V551"/>
      <c r="W551"/>
      <c r="X551"/>
    </row>
    <row r="552" spans="1:24" s="106" customFormat="1" ht="15.75" hidden="1" customHeight="1" outlineLevel="1">
      <c r="A552" s="932"/>
      <c r="B552" s="1087"/>
      <c r="C552" s="1096"/>
      <c r="D552" s="1092"/>
      <c r="E552" s="1092"/>
      <c r="F552" s="1094"/>
      <c r="G552" s="103"/>
      <c r="H552" s="101"/>
      <c r="I552" s="1092"/>
      <c r="J552" s="1085"/>
      <c r="K552" s="1085"/>
      <c r="L552" s="932"/>
      <c r="P552"/>
      <c r="Q552"/>
      <c r="R552"/>
      <c r="S552"/>
      <c r="T552"/>
      <c r="U552"/>
      <c r="V552"/>
      <c r="W552"/>
      <c r="X552"/>
    </row>
    <row r="553" spans="1:24" s="106" customFormat="1" ht="15.75" hidden="1" customHeight="1" outlineLevel="1">
      <c r="A553" s="932"/>
      <c r="B553" s="1086">
        <v>181</v>
      </c>
      <c r="C553" s="1095"/>
      <c r="D553" s="1091"/>
      <c r="E553" s="1091" t="s">
        <v>20</v>
      </c>
      <c r="F553" s="1093" t="str">
        <f>VLOOKUP(E553,$N$13:$O$17,2,0)</f>
        <v>-</v>
      </c>
      <c r="G553" s="95"/>
      <c r="H553" s="93"/>
      <c r="I553" s="1091"/>
      <c r="J553" s="1083"/>
      <c r="K553" s="1083"/>
      <c r="L553" s="932"/>
      <c r="P553"/>
      <c r="Q553"/>
      <c r="R553"/>
      <c r="S553"/>
      <c r="T553"/>
      <c r="U553"/>
      <c r="V553"/>
      <c r="W553"/>
      <c r="X553"/>
    </row>
    <row r="554" spans="1:24" s="106" customFormat="1" ht="15.75" hidden="1" customHeight="1" outlineLevel="1">
      <c r="A554" s="932"/>
      <c r="B554" s="1086"/>
      <c r="C554" s="1095"/>
      <c r="D554" s="1091"/>
      <c r="E554" s="1091"/>
      <c r="F554" s="1093"/>
      <c r="G554" s="98"/>
      <c r="H554" s="93"/>
      <c r="I554" s="1091"/>
      <c r="J554" s="1084"/>
      <c r="K554" s="1084"/>
      <c r="L554" s="932"/>
      <c r="P554"/>
      <c r="Q554"/>
      <c r="R554"/>
      <c r="S554"/>
      <c r="T554"/>
      <c r="U554"/>
      <c r="V554"/>
      <c r="W554"/>
      <c r="X554"/>
    </row>
    <row r="555" spans="1:24" s="106" customFormat="1" ht="15.75" hidden="1" customHeight="1" outlineLevel="1">
      <c r="A555" s="932"/>
      <c r="B555" s="1087"/>
      <c r="C555" s="1096"/>
      <c r="D555" s="1092"/>
      <c r="E555" s="1092"/>
      <c r="F555" s="1094"/>
      <c r="G555" s="103"/>
      <c r="H555" s="101"/>
      <c r="I555" s="1092"/>
      <c r="J555" s="1085"/>
      <c r="K555" s="1085"/>
      <c r="L555" s="932"/>
      <c r="P555"/>
      <c r="Q555"/>
      <c r="R555"/>
      <c r="S555"/>
      <c r="T555"/>
      <c r="U555"/>
      <c r="V555"/>
      <c r="W555"/>
      <c r="X555"/>
    </row>
    <row r="556" spans="1:24" s="106" customFormat="1" ht="15.75" hidden="1" customHeight="1" outlineLevel="1">
      <c r="A556" s="932"/>
      <c r="B556" s="1086">
        <v>182</v>
      </c>
      <c r="C556" s="1095"/>
      <c r="D556" s="1091"/>
      <c r="E556" s="1091" t="s">
        <v>20</v>
      </c>
      <c r="F556" s="1093" t="str">
        <f>VLOOKUP(E556,$N$13:$O$17,2,0)</f>
        <v>-</v>
      </c>
      <c r="G556" s="95"/>
      <c r="H556" s="93"/>
      <c r="I556" s="1091"/>
      <c r="J556" s="1083"/>
      <c r="K556" s="1083"/>
      <c r="L556" s="932"/>
      <c r="P556"/>
      <c r="Q556"/>
      <c r="R556"/>
      <c r="S556"/>
      <c r="T556"/>
      <c r="U556"/>
      <c r="V556"/>
      <c r="W556"/>
      <c r="X556"/>
    </row>
    <row r="557" spans="1:24" s="106" customFormat="1" ht="15.75" hidden="1" customHeight="1" outlineLevel="1">
      <c r="A557" s="932"/>
      <c r="B557" s="1086"/>
      <c r="C557" s="1095"/>
      <c r="D557" s="1091"/>
      <c r="E557" s="1091"/>
      <c r="F557" s="1093"/>
      <c r="G557" s="98"/>
      <c r="H557" s="93"/>
      <c r="I557" s="1091"/>
      <c r="J557" s="1084"/>
      <c r="K557" s="1084"/>
      <c r="L557" s="932"/>
      <c r="P557"/>
      <c r="Q557"/>
      <c r="R557"/>
      <c r="S557"/>
      <c r="T557"/>
      <c r="U557"/>
      <c r="V557"/>
      <c r="W557"/>
      <c r="X557"/>
    </row>
    <row r="558" spans="1:24" s="106" customFormat="1" ht="15.75" hidden="1" customHeight="1" outlineLevel="1">
      <c r="A558" s="932"/>
      <c r="B558" s="1087"/>
      <c r="C558" s="1096"/>
      <c r="D558" s="1092"/>
      <c r="E558" s="1092"/>
      <c r="F558" s="1094"/>
      <c r="G558" s="103"/>
      <c r="H558" s="101"/>
      <c r="I558" s="1092"/>
      <c r="J558" s="1085"/>
      <c r="K558" s="1085"/>
      <c r="L558" s="932"/>
      <c r="P558"/>
      <c r="Q558"/>
      <c r="R558"/>
      <c r="S558"/>
      <c r="T558"/>
      <c r="U558"/>
      <c r="V558"/>
      <c r="W558"/>
      <c r="X558"/>
    </row>
    <row r="559" spans="1:24" s="106" customFormat="1" ht="15.75" hidden="1" customHeight="1" outlineLevel="1">
      <c r="A559" s="932"/>
      <c r="B559" s="1086">
        <v>183</v>
      </c>
      <c r="C559" s="1095"/>
      <c r="D559" s="1091"/>
      <c r="E559" s="1091" t="s">
        <v>20</v>
      </c>
      <c r="F559" s="1093" t="str">
        <f>VLOOKUP(E559,$N$13:$O$17,2,0)</f>
        <v>-</v>
      </c>
      <c r="G559" s="95"/>
      <c r="H559" s="93"/>
      <c r="I559" s="1091"/>
      <c r="J559" s="1083"/>
      <c r="K559" s="1083"/>
      <c r="L559" s="932"/>
      <c r="P559"/>
      <c r="Q559"/>
      <c r="R559"/>
      <c r="S559"/>
      <c r="T559"/>
      <c r="U559"/>
      <c r="V559"/>
      <c r="W559"/>
      <c r="X559"/>
    </row>
    <row r="560" spans="1:24" s="106" customFormat="1" ht="15.75" hidden="1" customHeight="1" outlineLevel="1">
      <c r="A560" s="932"/>
      <c r="B560" s="1086"/>
      <c r="C560" s="1095"/>
      <c r="D560" s="1091"/>
      <c r="E560" s="1091"/>
      <c r="F560" s="1093"/>
      <c r="G560" s="98"/>
      <c r="H560" s="93"/>
      <c r="I560" s="1091"/>
      <c r="J560" s="1084"/>
      <c r="K560" s="1084"/>
      <c r="L560" s="932"/>
      <c r="P560"/>
      <c r="Q560"/>
      <c r="R560"/>
      <c r="S560"/>
      <c r="T560"/>
      <c r="U560"/>
      <c r="V560"/>
      <c r="W560"/>
      <c r="X560"/>
    </row>
    <row r="561" spans="1:24" s="106" customFormat="1" ht="15.75" hidden="1" customHeight="1" outlineLevel="1">
      <c r="A561" s="932"/>
      <c r="B561" s="1087"/>
      <c r="C561" s="1096"/>
      <c r="D561" s="1092"/>
      <c r="E561" s="1092"/>
      <c r="F561" s="1094"/>
      <c r="G561" s="103"/>
      <c r="H561" s="101"/>
      <c r="I561" s="1092"/>
      <c r="J561" s="1085"/>
      <c r="K561" s="1085"/>
      <c r="L561" s="932"/>
      <c r="P561"/>
      <c r="Q561"/>
      <c r="R561"/>
      <c r="S561"/>
      <c r="T561"/>
      <c r="U561"/>
      <c r="V561"/>
      <c r="W561"/>
      <c r="X561"/>
    </row>
    <row r="562" spans="1:24" s="106" customFormat="1" ht="15.75" hidden="1" customHeight="1" outlineLevel="1">
      <c r="A562" s="932"/>
      <c r="B562" s="1086">
        <v>184</v>
      </c>
      <c r="C562" s="1095"/>
      <c r="D562" s="1091"/>
      <c r="E562" s="1091" t="s">
        <v>20</v>
      </c>
      <c r="F562" s="1093" t="str">
        <f>VLOOKUP(E562,$N$13:$O$17,2,0)</f>
        <v>-</v>
      </c>
      <c r="G562" s="95"/>
      <c r="H562" s="93"/>
      <c r="I562" s="1091"/>
      <c r="J562" s="1083"/>
      <c r="K562" s="1083"/>
      <c r="L562" s="932"/>
      <c r="P562"/>
      <c r="Q562"/>
      <c r="R562"/>
      <c r="S562"/>
      <c r="T562"/>
      <c r="U562"/>
      <c r="V562"/>
      <c r="W562"/>
      <c r="X562"/>
    </row>
    <row r="563" spans="1:24" s="106" customFormat="1" ht="15.75" hidden="1" customHeight="1" outlineLevel="1">
      <c r="A563" s="932"/>
      <c r="B563" s="1086"/>
      <c r="C563" s="1095"/>
      <c r="D563" s="1091"/>
      <c r="E563" s="1091"/>
      <c r="F563" s="1093"/>
      <c r="G563" s="98"/>
      <c r="H563" s="93"/>
      <c r="I563" s="1091"/>
      <c r="J563" s="1084"/>
      <c r="K563" s="1084"/>
      <c r="L563" s="932"/>
      <c r="P563"/>
      <c r="Q563"/>
      <c r="R563"/>
      <c r="S563"/>
      <c r="T563"/>
      <c r="U563"/>
      <c r="V563"/>
      <c r="W563"/>
      <c r="X563"/>
    </row>
    <row r="564" spans="1:24" s="106" customFormat="1" ht="15.75" hidden="1" customHeight="1" outlineLevel="1">
      <c r="A564" s="932"/>
      <c r="B564" s="1087"/>
      <c r="C564" s="1096"/>
      <c r="D564" s="1092"/>
      <c r="E564" s="1092"/>
      <c r="F564" s="1094"/>
      <c r="G564" s="103"/>
      <c r="H564" s="101"/>
      <c r="I564" s="1092"/>
      <c r="J564" s="1085"/>
      <c r="K564" s="1085"/>
      <c r="L564" s="932"/>
      <c r="P564"/>
      <c r="Q564"/>
      <c r="R564"/>
      <c r="S564"/>
      <c r="T564"/>
      <c r="U564"/>
      <c r="V564"/>
      <c r="W564"/>
      <c r="X564"/>
    </row>
    <row r="565" spans="1:24" s="106" customFormat="1" ht="15.75" hidden="1" customHeight="1" outlineLevel="1">
      <c r="A565" s="932"/>
      <c r="B565" s="1086">
        <v>185</v>
      </c>
      <c r="C565" s="1095"/>
      <c r="D565" s="1091"/>
      <c r="E565" s="1091" t="s">
        <v>20</v>
      </c>
      <c r="F565" s="1093" t="str">
        <f>VLOOKUP(E565,$N$13:$O$17,2,0)</f>
        <v>-</v>
      </c>
      <c r="G565" s="95"/>
      <c r="H565" s="93"/>
      <c r="I565" s="1091"/>
      <c r="J565" s="1083"/>
      <c r="K565" s="1083"/>
      <c r="L565" s="932"/>
      <c r="P565"/>
      <c r="Q565"/>
      <c r="R565"/>
      <c r="S565"/>
      <c r="T565"/>
      <c r="U565"/>
      <c r="V565"/>
      <c r="W565"/>
      <c r="X565"/>
    </row>
    <row r="566" spans="1:24" s="106" customFormat="1" ht="15.75" hidden="1" customHeight="1" outlineLevel="1">
      <c r="A566" s="932"/>
      <c r="B566" s="1086"/>
      <c r="C566" s="1095"/>
      <c r="D566" s="1091"/>
      <c r="E566" s="1091"/>
      <c r="F566" s="1093"/>
      <c r="G566" s="98"/>
      <c r="H566" s="93"/>
      <c r="I566" s="1091"/>
      <c r="J566" s="1084"/>
      <c r="K566" s="1084"/>
      <c r="L566" s="932"/>
      <c r="P566"/>
      <c r="Q566"/>
      <c r="R566"/>
      <c r="S566"/>
      <c r="T566"/>
      <c r="U566"/>
      <c r="V566"/>
      <c r="W566"/>
      <c r="X566"/>
    </row>
    <row r="567" spans="1:24" s="106" customFormat="1" ht="15.75" hidden="1" customHeight="1" outlineLevel="1">
      <c r="A567" s="932"/>
      <c r="B567" s="1087"/>
      <c r="C567" s="1096"/>
      <c r="D567" s="1092"/>
      <c r="E567" s="1092"/>
      <c r="F567" s="1094"/>
      <c r="G567" s="103"/>
      <c r="H567" s="101"/>
      <c r="I567" s="1092"/>
      <c r="J567" s="1085"/>
      <c r="K567" s="1085"/>
      <c r="L567" s="932"/>
      <c r="P567"/>
      <c r="Q567"/>
      <c r="R567"/>
      <c r="S567"/>
      <c r="T567"/>
      <c r="U567"/>
      <c r="V567"/>
      <c r="W567"/>
      <c r="X567"/>
    </row>
    <row r="568" spans="1:24" s="106" customFormat="1" ht="15.75" hidden="1" customHeight="1" outlineLevel="1">
      <c r="A568" s="932"/>
      <c r="B568" s="1086">
        <v>186</v>
      </c>
      <c r="C568" s="1095"/>
      <c r="D568" s="1091"/>
      <c r="E568" s="1091" t="s">
        <v>20</v>
      </c>
      <c r="F568" s="1093" t="str">
        <f>VLOOKUP(E568,$N$13:$O$17,2,0)</f>
        <v>-</v>
      </c>
      <c r="G568" s="95"/>
      <c r="H568" s="93"/>
      <c r="I568" s="1091"/>
      <c r="J568" s="1083"/>
      <c r="K568" s="1083"/>
      <c r="L568" s="932"/>
      <c r="P568"/>
      <c r="Q568"/>
      <c r="R568"/>
      <c r="S568"/>
      <c r="T568"/>
      <c r="U568"/>
      <c r="V568"/>
      <c r="W568"/>
      <c r="X568"/>
    </row>
    <row r="569" spans="1:24" s="106" customFormat="1" ht="15.75" hidden="1" customHeight="1" outlineLevel="1">
      <c r="A569" s="932"/>
      <c r="B569" s="1086"/>
      <c r="C569" s="1095"/>
      <c r="D569" s="1091"/>
      <c r="E569" s="1091"/>
      <c r="F569" s="1093"/>
      <c r="G569" s="98"/>
      <c r="H569" s="93"/>
      <c r="I569" s="1091"/>
      <c r="J569" s="1084"/>
      <c r="K569" s="1084"/>
      <c r="L569" s="932"/>
      <c r="P569"/>
      <c r="Q569"/>
      <c r="R569"/>
      <c r="S569"/>
      <c r="T569"/>
      <c r="U569"/>
      <c r="V569"/>
      <c r="W569"/>
      <c r="X569"/>
    </row>
    <row r="570" spans="1:24" s="106" customFormat="1" ht="15.75" hidden="1" customHeight="1" outlineLevel="1">
      <c r="A570" s="932"/>
      <c r="B570" s="1087"/>
      <c r="C570" s="1096"/>
      <c r="D570" s="1092"/>
      <c r="E570" s="1092"/>
      <c r="F570" s="1094"/>
      <c r="G570" s="103"/>
      <c r="H570" s="101"/>
      <c r="I570" s="1092"/>
      <c r="J570" s="1085"/>
      <c r="K570" s="1085"/>
      <c r="L570" s="932"/>
      <c r="P570"/>
      <c r="Q570"/>
      <c r="R570"/>
      <c r="S570"/>
      <c r="T570"/>
      <c r="U570"/>
      <c r="V570"/>
      <c r="W570"/>
      <c r="X570"/>
    </row>
    <row r="571" spans="1:24" s="106" customFormat="1" ht="15.75" hidden="1" customHeight="1" outlineLevel="1">
      <c r="A571" s="932"/>
      <c r="B571" s="1086">
        <v>187</v>
      </c>
      <c r="C571" s="1095"/>
      <c r="D571" s="1091"/>
      <c r="E571" s="1091" t="s">
        <v>20</v>
      </c>
      <c r="F571" s="1093" t="str">
        <f>VLOOKUP(E571,$N$13:$O$17,2,0)</f>
        <v>-</v>
      </c>
      <c r="G571" s="95"/>
      <c r="H571" s="93"/>
      <c r="I571" s="1091"/>
      <c r="J571" s="1083"/>
      <c r="K571" s="1083"/>
      <c r="L571" s="932"/>
      <c r="P571"/>
      <c r="Q571"/>
      <c r="R571"/>
      <c r="S571"/>
      <c r="T571"/>
      <c r="U571"/>
      <c r="V571"/>
      <c r="W571"/>
      <c r="X571"/>
    </row>
    <row r="572" spans="1:24" s="106" customFormat="1" ht="15.75" hidden="1" customHeight="1" outlineLevel="1">
      <c r="A572" s="932"/>
      <c r="B572" s="1086"/>
      <c r="C572" s="1095"/>
      <c r="D572" s="1091"/>
      <c r="E572" s="1091"/>
      <c r="F572" s="1093"/>
      <c r="G572" s="98"/>
      <c r="H572" s="93"/>
      <c r="I572" s="1091"/>
      <c r="J572" s="1084"/>
      <c r="K572" s="1084"/>
      <c r="L572" s="932"/>
      <c r="P572"/>
      <c r="Q572"/>
      <c r="R572"/>
      <c r="S572"/>
      <c r="T572"/>
      <c r="U572"/>
      <c r="V572"/>
      <c r="W572"/>
      <c r="X572"/>
    </row>
    <row r="573" spans="1:24" s="106" customFormat="1" ht="15.75" hidden="1" customHeight="1" outlineLevel="1">
      <c r="A573" s="932"/>
      <c r="B573" s="1087"/>
      <c r="C573" s="1096"/>
      <c r="D573" s="1092"/>
      <c r="E573" s="1092"/>
      <c r="F573" s="1094"/>
      <c r="G573" s="103"/>
      <c r="H573" s="101"/>
      <c r="I573" s="1092"/>
      <c r="J573" s="1085"/>
      <c r="K573" s="1085"/>
      <c r="L573" s="932"/>
      <c r="P573"/>
      <c r="Q573"/>
      <c r="R573"/>
      <c r="S573"/>
      <c r="T573"/>
      <c r="U573"/>
      <c r="V573"/>
      <c r="W573"/>
      <c r="X573"/>
    </row>
    <row r="574" spans="1:24" s="106" customFormat="1" ht="15.75" hidden="1" customHeight="1" outlineLevel="1">
      <c r="A574" s="932"/>
      <c r="B574" s="1086">
        <v>188</v>
      </c>
      <c r="C574" s="1095"/>
      <c r="D574" s="1091"/>
      <c r="E574" s="1091" t="s">
        <v>20</v>
      </c>
      <c r="F574" s="1093" t="str">
        <f>VLOOKUP(E574,$N$13:$O$17,2,0)</f>
        <v>-</v>
      </c>
      <c r="G574" s="95"/>
      <c r="H574" s="93"/>
      <c r="I574" s="1091"/>
      <c r="J574" s="1083"/>
      <c r="K574" s="1083"/>
      <c r="L574" s="932"/>
      <c r="P574"/>
      <c r="Q574"/>
      <c r="R574"/>
      <c r="S574"/>
      <c r="T574"/>
      <c r="U574"/>
      <c r="V574"/>
      <c r="W574"/>
      <c r="X574"/>
    </row>
    <row r="575" spans="1:24" s="106" customFormat="1" ht="15.75" hidden="1" customHeight="1" outlineLevel="1">
      <c r="A575" s="932"/>
      <c r="B575" s="1086"/>
      <c r="C575" s="1095"/>
      <c r="D575" s="1091"/>
      <c r="E575" s="1091"/>
      <c r="F575" s="1093"/>
      <c r="G575" s="98"/>
      <c r="H575" s="93"/>
      <c r="I575" s="1091"/>
      <c r="J575" s="1084"/>
      <c r="K575" s="1084"/>
      <c r="L575" s="932"/>
      <c r="P575"/>
      <c r="Q575"/>
      <c r="R575"/>
      <c r="S575"/>
      <c r="T575"/>
      <c r="U575"/>
      <c r="V575"/>
      <c r="W575"/>
      <c r="X575"/>
    </row>
    <row r="576" spans="1:24" s="106" customFormat="1" ht="15.75" hidden="1" customHeight="1" outlineLevel="1">
      <c r="A576" s="932"/>
      <c r="B576" s="1087"/>
      <c r="C576" s="1096"/>
      <c r="D576" s="1092"/>
      <c r="E576" s="1092"/>
      <c r="F576" s="1094"/>
      <c r="G576" s="103"/>
      <c r="H576" s="101"/>
      <c r="I576" s="1092"/>
      <c r="J576" s="1085"/>
      <c r="K576" s="1085"/>
      <c r="L576" s="932"/>
      <c r="P576"/>
      <c r="Q576"/>
      <c r="R576"/>
      <c r="S576"/>
      <c r="T576"/>
      <c r="U576"/>
      <c r="V576"/>
      <c r="W576"/>
      <c r="X576"/>
    </row>
    <row r="577" spans="1:24" s="106" customFormat="1" ht="15.75" hidden="1" customHeight="1" outlineLevel="1">
      <c r="A577" s="932"/>
      <c r="B577" s="1086">
        <v>189</v>
      </c>
      <c r="C577" s="1095"/>
      <c r="D577" s="1091"/>
      <c r="E577" s="1091" t="s">
        <v>20</v>
      </c>
      <c r="F577" s="1093" t="str">
        <f>VLOOKUP(E577,$N$13:$O$17,2,0)</f>
        <v>-</v>
      </c>
      <c r="G577" s="95"/>
      <c r="H577" s="93"/>
      <c r="I577" s="1091"/>
      <c r="J577" s="1083"/>
      <c r="K577" s="1083"/>
      <c r="L577" s="932"/>
      <c r="P577"/>
      <c r="Q577"/>
      <c r="R577"/>
      <c r="S577"/>
      <c r="T577"/>
      <c r="U577"/>
      <c r="V577"/>
      <c r="W577"/>
      <c r="X577"/>
    </row>
    <row r="578" spans="1:24" s="106" customFormat="1" ht="15.75" hidden="1" customHeight="1" outlineLevel="1">
      <c r="A578" s="932"/>
      <c r="B578" s="1086"/>
      <c r="C578" s="1095"/>
      <c r="D578" s="1091"/>
      <c r="E578" s="1091"/>
      <c r="F578" s="1093"/>
      <c r="G578" s="98"/>
      <c r="H578" s="93"/>
      <c r="I578" s="1091"/>
      <c r="J578" s="1084"/>
      <c r="K578" s="1084"/>
      <c r="L578" s="932"/>
      <c r="P578"/>
      <c r="Q578"/>
      <c r="R578"/>
      <c r="S578"/>
      <c r="T578"/>
      <c r="U578"/>
      <c r="V578"/>
      <c r="W578"/>
      <c r="X578"/>
    </row>
    <row r="579" spans="1:24" s="106" customFormat="1" ht="15.75" hidden="1" customHeight="1" outlineLevel="1">
      <c r="A579" s="932"/>
      <c r="B579" s="1087"/>
      <c r="C579" s="1096"/>
      <c r="D579" s="1092"/>
      <c r="E579" s="1092"/>
      <c r="F579" s="1094"/>
      <c r="G579" s="103"/>
      <c r="H579" s="101"/>
      <c r="I579" s="1092"/>
      <c r="J579" s="1085"/>
      <c r="K579" s="1085"/>
      <c r="L579" s="932"/>
      <c r="P579"/>
      <c r="Q579"/>
      <c r="R579"/>
      <c r="S579"/>
      <c r="T579"/>
      <c r="U579"/>
      <c r="V579"/>
      <c r="W579"/>
      <c r="X579"/>
    </row>
    <row r="580" spans="1:24" s="106" customFormat="1" ht="15.75" hidden="1" customHeight="1" outlineLevel="1">
      <c r="A580" s="932"/>
      <c r="B580" s="1086">
        <v>190</v>
      </c>
      <c r="C580" s="1095"/>
      <c r="D580" s="1091"/>
      <c r="E580" s="1091" t="s">
        <v>20</v>
      </c>
      <c r="F580" s="1093" t="str">
        <f>VLOOKUP(E580,$N$13:$O$17,2,0)</f>
        <v>-</v>
      </c>
      <c r="G580" s="95"/>
      <c r="H580" s="93"/>
      <c r="I580" s="1091"/>
      <c r="J580" s="1083"/>
      <c r="K580" s="1083"/>
      <c r="L580" s="932"/>
      <c r="P580"/>
      <c r="Q580"/>
      <c r="R580"/>
      <c r="S580"/>
      <c r="T580"/>
      <c r="U580"/>
      <c r="V580"/>
      <c r="W580"/>
      <c r="X580"/>
    </row>
    <row r="581" spans="1:24" s="106" customFormat="1" ht="15.75" hidden="1" customHeight="1" outlineLevel="1">
      <c r="A581" s="932"/>
      <c r="B581" s="1086"/>
      <c r="C581" s="1095"/>
      <c r="D581" s="1091"/>
      <c r="E581" s="1091"/>
      <c r="F581" s="1093"/>
      <c r="G581" s="98"/>
      <c r="H581" s="93"/>
      <c r="I581" s="1091"/>
      <c r="J581" s="1084"/>
      <c r="K581" s="1084"/>
      <c r="L581" s="932"/>
      <c r="P581"/>
      <c r="Q581"/>
      <c r="R581"/>
      <c r="S581"/>
      <c r="T581"/>
      <c r="U581"/>
      <c r="V581"/>
      <c r="W581"/>
      <c r="X581"/>
    </row>
    <row r="582" spans="1:24" s="106" customFormat="1" ht="15.75" hidden="1" customHeight="1" outlineLevel="1">
      <c r="A582" s="932"/>
      <c r="B582" s="1087"/>
      <c r="C582" s="1096"/>
      <c r="D582" s="1092"/>
      <c r="E582" s="1092"/>
      <c r="F582" s="1094"/>
      <c r="G582" s="103"/>
      <c r="H582" s="101"/>
      <c r="I582" s="1092"/>
      <c r="J582" s="1085"/>
      <c r="K582" s="1085"/>
      <c r="L582" s="932"/>
      <c r="P582"/>
      <c r="Q582"/>
      <c r="R582"/>
      <c r="S582"/>
      <c r="T582"/>
      <c r="U582"/>
      <c r="V582"/>
      <c r="W582"/>
      <c r="X582"/>
    </row>
    <row r="583" spans="1:24" s="106" customFormat="1" ht="15.75" hidden="1" customHeight="1" outlineLevel="1">
      <c r="A583" s="932"/>
      <c r="B583" s="1086">
        <v>191</v>
      </c>
      <c r="C583" s="1095"/>
      <c r="D583" s="1091"/>
      <c r="E583" s="1091" t="s">
        <v>20</v>
      </c>
      <c r="F583" s="1093" t="str">
        <f>VLOOKUP(E583,$N$13:$O$17,2,0)</f>
        <v>-</v>
      </c>
      <c r="G583" s="95"/>
      <c r="H583" s="93"/>
      <c r="I583" s="1091"/>
      <c r="J583" s="1083"/>
      <c r="K583" s="1083"/>
      <c r="L583" s="932"/>
      <c r="P583"/>
      <c r="Q583"/>
      <c r="R583"/>
      <c r="S583"/>
      <c r="T583"/>
      <c r="U583"/>
      <c r="V583"/>
      <c r="W583"/>
      <c r="X583"/>
    </row>
    <row r="584" spans="1:24" s="106" customFormat="1" ht="15.75" hidden="1" customHeight="1" outlineLevel="1">
      <c r="A584" s="932"/>
      <c r="B584" s="1086"/>
      <c r="C584" s="1095"/>
      <c r="D584" s="1091"/>
      <c r="E584" s="1091"/>
      <c r="F584" s="1093"/>
      <c r="G584" s="98"/>
      <c r="H584" s="93"/>
      <c r="I584" s="1091"/>
      <c r="J584" s="1084"/>
      <c r="K584" s="1084"/>
      <c r="L584" s="932"/>
      <c r="P584"/>
      <c r="Q584"/>
      <c r="R584"/>
      <c r="S584"/>
      <c r="T584"/>
      <c r="U584"/>
      <c r="V584"/>
      <c r="W584"/>
      <c r="X584"/>
    </row>
    <row r="585" spans="1:24" s="106" customFormat="1" ht="15.75" hidden="1" customHeight="1" outlineLevel="1">
      <c r="A585" s="932"/>
      <c r="B585" s="1087"/>
      <c r="C585" s="1096"/>
      <c r="D585" s="1092"/>
      <c r="E585" s="1092"/>
      <c r="F585" s="1094"/>
      <c r="G585" s="103"/>
      <c r="H585" s="101"/>
      <c r="I585" s="1092"/>
      <c r="J585" s="1085"/>
      <c r="K585" s="1085"/>
      <c r="L585" s="932"/>
      <c r="P585"/>
      <c r="Q585"/>
      <c r="R585"/>
      <c r="S585"/>
      <c r="T585"/>
      <c r="U585"/>
      <c r="V585"/>
      <c r="W585"/>
      <c r="X585"/>
    </row>
    <row r="586" spans="1:24" s="106" customFormat="1" ht="15.75" hidden="1" customHeight="1" outlineLevel="1">
      <c r="A586" s="932"/>
      <c r="B586" s="1086">
        <v>192</v>
      </c>
      <c r="C586" s="1095"/>
      <c r="D586" s="1091"/>
      <c r="E586" s="1091" t="s">
        <v>20</v>
      </c>
      <c r="F586" s="1093" t="str">
        <f>VLOOKUP(E586,$N$13:$O$17,2,0)</f>
        <v>-</v>
      </c>
      <c r="G586" s="95"/>
      <c r="H586" s="93"/>
      <c r="I586" s="1091"/>
      <c r="J586" s="1083"/>
      <c r="K586" s="1083"/>
      <c r="L586" s="932"/>
      <c r="P586"/>
      <c r="Q586"/>
      <c r="R586"/>
      <c r="S586"/>
      <c r="T586"/>
      <c r="U586"/>
      <c r="V586"/>
      <c r="W586"/>
      <c r="X586"/>
    </row>
    <row r="587" spans="1:24" s="106" customFormat="1" ht="15.75" hidden="1" customHeight="1" outlineLevel="1">
      <c r="A587" s="932"/>
      <c r="B587" s="1086"/>
      <c r="C587" s="1095"/>
      <c r="D587" s="1091"/>
      <c r="E587" s="1091"/>
      <c r="F587" s="1093"/>
      <c r="G587" s="98"/>
      <c r="H587" s="93"/>
      <c r="I587" s="1091"/>
      <c r="J587" s="1084"/>
      <c r="K587" s="1084"/>
      <c r="L587" s="932"/>
      <c r="P587"/>
      <c r="Q587"/>
      <c r="R587"/>
      <c r="S587"/>
      <c r="T587"/>
      <c r="U587"/>
      <c r="V587"/>
      <c r="W587"/>
      <c r="X587"/>
    </row>
    <row r="588" spans="1:24" s="106" customFormat="1" ht="15.75" hidden="1" customHeight="1" outlineLevel="1">
      <c r="A588" s="932"/>
      <c r="B588" s="1087"/>
      <c r="C588" s="1096"/>
      <c r="D588" s="1092"/>
      <c r="E588" s="1092"/>
      <c r="F588" s="1094"/>
      <c r="G588" s="103"/>
      <c r="H588" s="101"/>
      <c r="I588" s="1092"/>
      <c r="J588" s="1085"/>
      <c r="K588" s="1085"/>
      <c r="L588" s="932"/>
      <c r="P588"/>
      <c r="Q588"/>
      <c r="R588"/>
      <c r="S588"/>
      <c r="T588"/>
      <c r="U588"/>
      <c r="V588"/>
      <c r="W588"/>
      <c r="X588"/>
    </row>
    <row r="589" spans="1:24" s="106" customFormat="1" ht="15.75" hidden="1" customHeight="1" outlineLevel="1">
      <c r="A589" s="932"/>
      <c r="B589" s="1086">
        <v>193</v>
      </c>
      <c r="C589" s="1095"/>
      <c r="D589" s="1091"/>
      <c r="E589" s="1091" t="s">
        <v>20</v>
      </c>
      <c r="F589" s="1093" t="str">
        <f>VLOOKUP(E589,$N$13:$O$17,2,0)</f>
        <v>-</v>
      </c>
      <c r="G589" s="95"/>
      <c r="H589" s="93"/>
      <c r="I589" s="1091"/>
      <c r="J589" s="1083"/>
      <c r="K589" s="1083"/>
      <c r="L589" s="932"/>
      <c r="P589"/>
      <c r="Q589"/>
      <c r="R589"/>
      <c r="S589"/>
      <c r="T589"/>
      <c r="U589"/>
      <c r="V589"/>
      <c r="W589"/>
      <c r="X589"/>
    </row>
    <row r="590" spans="1:24" s="106" customFormat="1" ht="15.75" hidden="1" customHeight="1" outlineLevel="1">
      <c r="A590" s="932"/>
      <c r="B590" s="1086"/>
      <c r="C590" s="1095"/>
      <c r="D590" s="1091"/>
      <c r="E590" s="1091"/>
      <c r="F590" s="1093"/>
      <c r="G590" s="98"/>
      <c r="H590" s="93"/>
      <c r="I590" s="1091"/>
      <c r="J590" s="1084"/>
      <c r="K590" s="1084"/>
      <c r="L590" s="932"/>
      <c r="P590"/>
      <c r="Q590"/>
      <c r="R590"/>
      <c r="S590"/>
      <c r="T590"/>
      <c r="U590"/>
      <c r="V590"/>
      <c r="W590"/>
      <c r="X590"/>
    </row>
    <row r="591" spans="1:24" s="106" customFormat="1" ht="15.75" hidden="1" customHeight="1" outlineLevel="1">
      <c r="A591" s="932"/>
      <c r="B591" s="1087"/>
      <c r="C591" s="1096"/>
      <c r="D591" s="1092"/>
      <c r="E591" s="1092"/>
      <c r="F591" s="1094"/>
      <c r="G591" s="103"/>
      <c r="H591" s="101"/>
      <c r="I591" s="1092"/>
      <c r="J591" s="1085"/>
      <c r="K591" s="1085"/>
      <c r="L591" s="932"/>
      <c r="P591"/>
      <c r="Q591"/>
      <c r="R591"/>
      <c r="S591"/>
      <c r="T591"/>
      <c r="U591"/>
      <c r="V591"/>
      <c r="W591"/>
      <c r="X591"/>
    </row>
    <row r="592" spans="1:24" s="106" customFormat="1" ht="15.75" hidden="1" customHeight="1" outlineLevel="1">
      <c r="A592" s="932"/>
      <c r="B592" s="1086">
        <v>194</v>
      </c>
      <c r="C592" s="1095"/>
      <c r="D592" s="1091"/>
      <c r="E592" s="1091" t="s">
        <v>20</v>
      </c>
      <c r="F592" s="1093" t="str">
        <f>VLOOKUP(E592,$N$13:$O$17,2,0)</f>
        <v>-</v>
      </c>
      <c r="G592" s="95"/>
      <c r="H592" s="93"/>
      <c r="I592" s="1091"/>
      <c r="J592" s="1083"/>
      <c r="K592" s="1083"/>
      <c r="L592" s="932"/>
      <c r="P592"/>
      <c r="Q592"/>
      <c r="R592"/>
      <c r="S592"/>
      <c r="T592"/>
      <c r="U592"/>
      <c r="V592"/>
      <c r="W592"/>
      <c r="X592"/>
    </row>
    <row r="593" spans="1:24" s="106" customFormat="1" ht="15.75" hidden="1" customHeight="1" outlineLevel="1">
      <c r="A593" s="932"/>
      <c r="B593" s="1086"/>
      <c r="C593" s="1095"/>
      <c r="D593" s="1091"/>
      <c r="E593" s="1091"/>
      <c r="F593" s="1093"/>
      <c r="G593" s="98"/>
      <c r="H593" s="93"/>
      <c r="I593" s="1091"/>
      <c r="J593" s="1084"/>
      <c r="K593" s="1084"/>
      <c r="L593" s="932"/>
      <c r="P593"/>
      <c r="Q593"/>
      <c r="R593"/>
      <c r="S593"/>
      <c r="T593"/>
      <c r="U593"/>
      <c r="V593"/>
      <c r="W593"/>
      <c r="X593"/>
    </row>
    <row r="594" spans="1:24" s="106" customFormat="1" ht="15.75" hidden="1" customHeight="1" outlineLevel="1">
      <c r="A594" s="932"/>
      <c r="B594" s="1087"/>
      <c r="C594" s="1096"/>
      <c r="D594" s="1092"/>
      <c r="E594" s="1092"/>
      <c r="F594" s="1094"/>
      <c r="G594" s="103"/>
      <c r="H594" s="101"/>
      <c r="I594" s="1092"/>
      <c r="J594" s="1085"/>
      <c r="K594" s="1085"/>
      <c r="L594" s="932"/>
      <c r="P594"/>
      <c r="Q594"/>
      <c r="R594"/>
      <c r="S594"/>
      <c r="T594"/>
      <c r="U594"/>
      <c r="V594"/>
      <c r="W594"/>
      <c r="X594"/>
    </row>
    <row r="595" spans="1:24" s="106" customFormat="1" ht="15.75" hidden="1" customHeight="1" outlineLevel="1">
      <c r="A595" s="932"/>
      <c r="B595" s="1086">
        <v>195</v>
      </c>
      <c r="C595" s="1095"/>
      <c r="D595" s="1091"/>
      <c r="E595" s="1091" t="s">
        <v>20</v>
      </c>
      <c r="F595" s="1093" t="str">
        <f>VLOOKUP(E595,$N$13:$O$17,2,0)</f>
        <v>-</v>
      </c>
      <c r="G595" s="95"/>
      <c r="H595" s="93"/>
      <c r="I595" s="1091"/>
      <c r="J595" s="1083"/>
      <c r="K595" s="1083"/>
      <c r="L595" s="932"/>
      <c r="P595"/>
      <c r="Q595"/>
      <c r="R595"/>
      <c r="S595"/>
      <c r="T595"/>
      <c r="U595"/>
      <c r="V595"/>
      <c r="W595"/>
      <c r="X595"/>
    </row>
    <row r="596" spans="1:24" s="106" customFormat="1" ht="15.75" hidden="1" customHeight="1" outlineLevel="1">
      <c r="A596" s="932"/>
      <c r="B596" s="1086"/>
      <c r="C596" s="1095"/>
      <c r="D596" s="1091"/>
      <c r="E596" s="1091"/>
      <c r="F596" s="1093"/>
      <c r="G596" s="98"/>
      <c r="H596" s="93"/>
      <c r="I596" s="1091"/>
      <c r="J596" s="1084"/>
      <c r="K596" s="1084"/>
      <c r="L596" s="932"/>
      <c r="P596"/>
      <c r="Q596"/>
      <c r="R596"/>
      <c r="S596"/>
      <c r="T596"/>
      <c r="U596"/>
      <c r="V596"/>
      <c r="W596"/>
      <c r="X596"/>
    </row>
    <row r="597" spans="1:24" s="106" customFormat="1" ht="15.75" hidden="1" customHeight="1" outlineLevel="1">
      <c r="A597" s="932"/>
      <c r="B597" s="1087"/>
      <c r="C597" s="1096"/>
      <c r="D597" s="1092"/>
      <c r="E597" s="1092"/>
      <c r="F597" s="1094"/>
      <c r="G597" s="103"/>
      <c r="H597" s="101"/>
      <c r="I597" s="1092"/>
      <c r="J597" s="1085"/>
      <c r="K597" s="1085"/>
      <c r="L597" s="932"/>
      <c r="P597"/>
      <c r="Q597"/>
      <c r="R597"/>
      <c r="S597"/>
      <c r="T597"/>
      <c r="U597"/>
      <c r="V597"/>
      <c r="W597"/>
      <c r="X597"/>
    </row>
    <row r="598" spans="1:24" s="106" customFormat="1" ht="15.75" hidden="1" customHeight="1" outlineLevel="1">
      <c r="A598" s="932"/>
      <c r="B598" s="1086">
        <v>196</v>
      </c>
      <c r="C598" s="1095"/>
      <c r="D598" s="1091"/>
      <c r="E598" s="1091" t="s">
        <v>20</v>
      </c>
      <c r="F598" s="1093" t="str">
        <f>VLOOKUP(E598,$N$13:$O$17,2,0)</f>
        <v>-</v>
      </c>
      <c r="G598" s="95"/>
      <c r="H598" s="93"/>
      <c r="I598" s="1091"/>
      <c r="J598" s="1083"/>
      <c r="K598" s="1083"/>
      <c r="L598" s="932"/>
      <c r="P598"/>
      <c r="Q598"/>
      <c r="R598"/>
      <c r="S598"/>
      <c r="T598"/>
      <c r="U598"/>
      <c r="V598"/>
      <c r="W598"/>
      <c r="X598"/>
    </row>
    <row r="599" spans="1:24" s="106" customFormat="1" ht="15.75" hidden="1" customHeight="1" outlineLevel="1">
      <c r="A599" s="932"/>
      <c r="B599" s="1086"/>
      <c r="C599" s="1095"/>
      <c r="D599" s="1091"/>
      <c r="E599" s="1091"/>
      <c r="F599" s="1093"/>
      <c r="G599" s="98"/>
      <c r="H599" s="93"/>
      <c r="I599" s="1091"/>
      <c r="J599" s="1084"/>
      <c r="K599" s="1084"/>
      <c r="L599" s="932"/>
      <c r="P599"/>
      <c r="Q599"/>
      <c r="R599"/>
      <c r="S599"/>
      <c r="T599"/>
      <c r="U599"/>
      <c r="V599"/>
      <c r="W599"/>
      <c r="X599"/>
    </row>
    <row r="600" spans="1:24" s="106" customFormat="1" ht="15.75" hidden="1" customHeight="1" outlineLevel="1">
      <c r="A600" s="932"/>
      <c r="B600" s="1087"/>
      <c r="C600" s="1096"/>
      <c r="D600" s="1092"/>
      <c r="E600" s="1092"/>
      <c r="F600" s="1094"/>
      <c r="G600" s="103"/>
      <c r="H600" s="101"/>
      <c r="I600" s="1092"/>
      <c r="J600" s="1085"/>
      <c r="K600" s="1085"/>
      <c r="L600" s="932"/>
      <c r="P600"/>
      <c r="Q600"/>
      <c r="R600"/>
      <c r="S600"/>
      <c r="T600"/>
      <c r="U600"/>
      <c r="V600"/>
      <c r="W600"/>
      <c r="X600"/>
    </row>
    <row r="601" spans="1:24" s="106" customFormat="1" ht="15.75" hidden="1" customHeight="1" outlineLevel="1">
      <c r="A601" s="932"/>
      <c r="B601" s="1086">
        <v>197</v>
      </c>
      <c r="C601" s="1095"/>
      <c r="D601" s="1091"/>
      <c r="E601" s="1091" t="s">
        <v>20</v>
      </c>
      <c r="F601" s="1093" t="str">
        <f>VLOOKUP(E601,$N$13:$O$17,2,0)</f>
        <v>-</v>
      </c>
      <c r="G601" s="95"/>
      <c r="H601" s="93"/>
      <c r="I601" s="1091"/>
      <c r="J601" s="1083"/>
      <c r="K601" s="1083"/>
      <c r="L601" s="932"/>
      <c r="P601"/>
      <c r="Q601"/>
      <c r="R601"/>
      <c r="S601"/>
      <c r="T601"/>
      <c r="U601"/>
      <c r="V601"/>
      <c r="W601"/>
      <c r="X601"/>
    </row>
    <row r="602" spans="1:24" s="106" customFormat="1" ht="15.75" hidden="1" customHeight="1" outlineLevel="1">
      <c r="A602" s="932"/>
      <c r="B602" s="1086"/>
      <c r="C602" s="1095"/>
      <c r="D602" s="1091"/>
      <c r="E602" s="1091"/>
      <c r="F602" s="1093"/>
      <c r="G602" s="98"/>
      <c r="H602" s="93"/>
      <c r="I602" s="1091"/>
      <c r="J602" s="1084"/>
      <c r="K602" s="1084"/>
      <c r="L602" s="932"/>
      <c r="P602"/>
      <c r="Q602"/>
      <c r="R602"/>
      <c r="S602"/>
      <c r="T602"/>
      <c r="U602"/>
      <c r="V602"/>
      <c r="W602"/>
      <c r="X602"/>
    </row>
    <row r="603" spans="1:24" s="106" customFormat="1" ht="15.75" hidden="1" customHeight="1" outlineLevel="1">
      <c r="A603" s="932"/>
      <c r="B603" s="1087"/>
      <c r="C603" s="1096"/>
      <c r="D603" s="1092"/>
      <c r="E603" s="1092"/>
      <c r="F603" s="1094"/>
      <c r="G603" s="103"/>
      <c r="H603" s="101"/>
      <c r="I603" s="1092"/>
      <c r="J603" s="1085"/>
      <c r="K603" s="1085"/>
      <c r="L603" s="932"/>
      <c r="P603"/>
      <c r="Q603"/>
      <c r="R603"/>
      <c r="S603"/>
      <c r="T603"/>
      <c r="U603"/>
      <c r="V603"/>
      <c r="W603"/>
      <c r="X603"/>
    </row>
    <row r="604" spans="1:24" s="106" customFormat="1" ht="15.75" hidden="1" customHeight="1" outlineLevel="1">
      <c r="A604" s="932"/>
      <c r="B604" s="1086">
        <v>198</v>
      </c>
      <c r="C604" s="1095"/>
      <c r="D604" s="1091"/>
      <c r="E604" s="1091" t="s">
        <v>20</v>
      </c>
      <c r="F604" s="1093" t="str">
        <f>VLOOKUP(E604,$N$13:$O$17,2,0)</f>
        <v>-</v>
      </c>
      <c r="G604" s="95"/>
      <c r="H604" s="93"/>
      <c r="I604" s="1091"/>
      <c r="J604" s="1083"/>
      <c r="K604" s="1083"/>
      <c r="L604" s="932"/>
      <c r="P604"/>
      <c r="Q604"/>
      <c r="R604"/>
      <c r="S604"/>
      <c r="T604"/>
      <c r="U604"/>
      <c r="V604"/>
      <c r="W604"/>
      <c r="X604"/>
    </row>
    <row r="605" spans="1:24" s="106" customFormat="1" ht="15.75" hidden="1" customHeight="1" outlineLevel="1">
      <c r="A605" s="932"/>
      <c r="B605" s="1086"/>
      <c r="C605" s="1095"/>
      <c r="D605" s="1091"/>
      <c r="E605" s="1091"/>
      <c r="F605" s="1093"/>
      <c r="G605" s="98"/>
      <c r="H605" s="93"/>
      <c r="I605" s="1091"/>
      <c r="J605" s="1084"/>
      <c r="K605" s="1084"/>
      <c r="L605" s="932"/>
      <c r="P605"/>
      <c r="Q605"/>
      <c r="R605"/>
      <c r="S605"/>
      <c r="T605"/>
      <c r="U605"/>
      <c r="V605"/>
      <c r="W605"/>
      <c r="X605"/>
    </row>
    <row r="606" spans="1:24" s="106" customFormat="1" ht="15.75" hidden="1" customHeight="1" outlineLevel="1">
      <c r="A606" s="932"/>
      <c r="B606" s="1087"/>
      <c r="C606" s="1096"/>
      <c r="D606" s="1092"/>
      <c r="E606" s="1092"/>
      <c r="F606" s="1094"/>
      <c r="G606" s="103"/>
      <c r="H606" s="101"/>
      <c r="I606" s="1092"/>
      <c r="J606" s="1085"/>
      <c r="K606" s="1085"/>
      <c r="L606" s="932"/>
      <c r="P606"/>
      <c r="Q606"/>
      <c r="R606"/>
      <c r="S606"/>
      <c r="T606"/>
      <c r="U606"/>
      <c r="V606"/>
      <c r="W606"/>
      <c r="X606"/>
    </row>
    <row r="607" spans="1:24" s="106" customFormat="1" ht="15.75" hidden="1" customHeight="1" outlineLevel="1">
      <c r="A607" s="932"/>
      <c r="B607" s="1086">
        <v>199</v>
      </c>
      <c r="C607" s="1095"/>
      <c r="D607" s="1091"/>
      <c r="E607" s="1091" t="s">
        <v>20</v>
      </c>
      <c r="F607" s="1093" t="str">
        <f>VLOOKUP(E607,$N$13:$O$17,2,0)</f>
        <v>-</v>
      </c>
      <c r="G607" s="95"/>
      <c r="H607" s="93"/>
      <c r="I607" s="1091"/>
      <c r="J607" s="1083"/>
      <c r="K607" s="1083"/>
      <c r="L607" s="932"/>
      <c r="P607"/>
      <c r="Q607"/>
      <c r="R607"/>
      <c r="S607"/>
      <c r="T607"/>
      <c r="U607"/>
      <c r="V607"/>
      <c r="W607"/>
      <c r="X607"/>
    </row>
    <row r="608" spans="1:24" s="106" customFormat="1" ht="15.75" hidden="1" customHeight="1" outlineLevel="1">
      <c r="A608" s="932"/>
      <c r="B608" s="1086"/>
      <c r="C608" s="1095"/>
      <c r="D608" s="1091"/>
      <c r="E608" s="1091"/>
      <c r="F608" s="1093"/>
      <c r="G608" s="98"/>
      <c r="H608" s="93"/>
      <c r="I608" s="1091"/>
      <c r="J608" s="1084"/>
      <c r="K608" s="1084"/>
      <c r="L608" s="932"/>
      <c r="P608"/>
      <c r="Q608"/>
      <c r="R608"/>
      <c r="S608"/>
      <c r="T608"/>
      <c r="U608"/>
      <c r="V608"/>
      <c r="W608"/>
      <c r="X608"/>
    </row>
    <row r="609" spans="1:24" s="106" customFormat="1" ht="15.75" hidden="1" customHeight="1" outlineLevel="1">
      <c r="A609" s="932"/>
      <c r="B609" s="1087"/>
      <c r="C609" s="1096"/>
      <c r="D609" s="1092"/>
      <c r="E609" s="1092"/>
      <c r="F609" s="1094"/>
      <c r="G609" s="103"/>
      <c r="H609" s="101"/>
      <c r="I609" s="1092"/>
      <c r="J609" s="1085"/>
      <c r="K609" s="1085"/>
      <c r="L609" s="932"/>
      <c r="P609"/>
      <c r="Q609"/>
      <c r="R609"/>
      <c r="S609"/>
      <c r="T609"/>
      <c r="U609"/>
      <c r="V609"/>
      <c r="W609"/>
      <c r="X609"/>
    </row>
    <row r="610" spans="1:24"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c r="P610"/>
      <c r="Q610"/>
      <c r="R610"/>
      <c r="S610"/>
      <c r="T610"/>
      <c r="U610"/>
      <c r="V610"/>
      <c r="W610"/>
      <c r="X610"/>
    </row>
    <row r="611" spans="1:24" s="106" customFormat="1" ht="15.75" hidden="1" customHeight="1" outlineLevel="1">
      <c r="A611" s="932"/>
      <c r="B611" s="1086"/>
      <c r="C611" s="1089"/>
      <c r="D611" s="1091"/>
      <c r="E611" s="1091"/>
      <c r="F611" s="1093"/>
      <c r="G611" s="98"/>
      <c r="H611" s="93"/>
      <c r="I611" s="1091"/>
      <c r="J611" s="1084"/>
      <c r="K611" s="1084"/>
      <c r="L611" s="932"/>
      <c r="P611"/>
      <c r="Q611"/>
      <c r="R611"/>
      <c r="S611"/>
      <c r="T611"/>
      <c r="U611"/>
      <c r="V611"/>
      <c r="W611"/>
      <c r="X611"/>
    </row>
    <row r="612" spans="1:24" s="106" customFormat="1" ht="15.75" hidden="1" customHeight="1" outlineLevel="1" thickBot="1">
      <c r="A612" s="932"/>
      <c r="B612" s="1087"/>
      <c r="C612" s="1090"/>
      <c r="D612" s="1092"/>
      <c r="E612" s="1092"/>
      <c r="F612" s="1094"/>
      <c r="G612" s="103"/>
      <c r="H612" s="101"/>
      <c r="I612" s="1092"/>
      <c r="J612" s="1085"/>
      <c r="K612" s="1085"/>
      <c r="L612" s="932"/>
      <c r="P612"/>
      <c r="Q612"/>
      <c r="R612"/>
      <c r="S612"/>
      <c r="T612"/>
      <c r="U612"/>
      <c r="V612"/>
      <c r="W612"/>
      <c r="X612"/>
    </row>
    <row r="613" spans="1:24" s="106" customFormat="1" ht="15.6" collapsed="1" thickBot="1">
      <c r="A613" s="932"/>
      <c r="B613" s="932"/>
      <c r="C613" s="932"/>
      <c r="D613" s="934"/>
      <c r="E613" s="932"/>
      <c r="F613" s="935"/>
      <c r="G613" s="936"/>
      <c r="H613" s="934"/>
      <c r="I613" s="74" t="s">
        <v>6</v>
      </c>
      <c r="J613" s="75">
        <f>SUM(J13:J612)</f>
        <v>0</v>
      </c>
      <c r="K613" s="75"/>
      <c r="L613" s="932"/>
      <c r="P613"/>
      <c r="Q613"/>
      <c r="R613"/>
      <c r="S613"/>
      <c r="T613"/>
      <c r="U613"/>
      <c r="V613"/>
      <c r="W613"/>
      <c r="X613"/>
    </row>
    <row r="614" spans="1:24" s="109" customFormat="1">
      <c r="A614" s="933"/>
      <c r="B614" s="937"/>
      <c r="C614" s="933"/>
      <c r="D614" s="938"/>
      <c r="E614" s="933"/>
      <c r="F614" s="932"/>
      <c r="G614" s="934"/>
      <c r="H614" s="938"/>
      <c r="I614" s="938"/>
      <c r="J614" s="933"/>
      <c r="K614" s="933"/>
      <c r="L614" s="933"/>
      <c r="P614"/>
      <c r="Q614"/>
      <c r="R614"/>
      <c r="S614"/>
      <c r="T614"/>
      <c r="U614"/>
      <c r="V614"/>
      <c r="W614"/>
      <c r="X614"/>
    </row>
    <row r="615" spans="1:24">
      <c r="A615" s="896"/>
      <c r="B615" s="929"/>
      <c r="C615" s="929"/>
      <c r="D615" s="925"/>
      <c r="E615" s="929"/>
      <c r="F615" s="935"/>
      <c r="G615" s="939"/>
      <c r="H615" s="919"/>
      <c r="I615" s="919"/>
      <c r="J615" s="896"/>
      <c r="K615" s="896"/>
      <c r="L615" s="896"/>
    </row>
    <row r="616" spans="1:24">
      <c r="A616" s="896"/>
      <c r="B616" s="896"/>
      <c r="C616" s="896"/>
      <c r="D616" s="938"/>
      <c r="E616" s="932"/>
      <c r="F616" s="935"/>
      <c r="G616" s="939"/>
      <c r="H616" s="919"/>
      <c r="I616" s="919"/>
      <c r="J616" s="896"/>
      <c r="K616" s="896"/>
      <c r="L616" s="896"/>
    </row>
    <row r="617" spans="1:24">
      <c r="F617" s="108"/>
    </row>
    <row r="618" spans="1:24">
      <c r="F618" s="108"/>
    </row>
    <row r="619" spans="1:24">
      <c r="F619" s="108"/>
    </row>
    <row r="620" spans="1:24">
      <c r="F620" s="108"/>
    </row>
    <row r="621" spans="1:24">
      <c r="F621" s="1097"/>
      <c r="G621" s="1098"/>
      <c r="H621" s="1098"/>
      <c r="I621" s="1098"/>
      <c r="J621" s="80"/>
      <c r="K621" s="79"/>
    </row>
    <row r="622" spans="1:24">
      <c r="F622" s="108"/>
    </row>
    <row r="623" spans="1:24">
      <c r="F623" s="108"/>
    </row>
    <row r="624" spans="1:24">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s>
  <phoneticPr fontId="2" type="noConversion"/>
  <dataValidations count="1">
    <dataValidation type="list" allowBlank="1" showInputMessage="1" showErrorMessage="1" sqref="E13:E612" xr:uid="{00000000-0002-0000-1500-000000000000}">
      <formula1>$N$13:$N$17</formula1>
    </dataValidation>
  </dataValidations>
  <hyperlinks>
    <hyperlink ref="C1" location="Spis!B47" display="&gt;&gt; powrót do spisu treści" xr:uid="{00000000-0004-0000-15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18" width="10.81640625" style="81" customWidth="1"/>
    <col min="19" max="16384" width="15.81640625" style="81"/>
  </cols>
  <sheetData>
    <row r="1" spans="1:24">
      <c r="A1" s="914"/>
      <c r="B1" s="914"/>
      <c r="C1" s="941" t="s">
        <v>10</v>
      </c>
      <c r="D1" s="915"/>
      <c r="E1" s="916"/>
      <c r="F1" s="916"/>
      <c r="G1" s="917"/>
      <c r="H1" s="918"/>
      <c r="I1" s="919"/>
      <c r="J1" s="896"/>
      <c r="K1" s="896"/>
      <c r="L1" s="896"/>
      <c r="P1"/>
      <c r="Q1"/>
      <c r="R1"/>
      <c r="S1"/>
      <c r="T1"/>
      <c r="U1"/>
      <c r="V1"/>
      <c r="W1"/>
      <c r="X1"/>
    </row>
    <row r="2" spans="1:24" ht="9.9"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081" t="s">
        <v>21</v>
      </c>
      <c r="D3" s="1081"/>
      <c r="E3" s="1081"/>
      <c r="F3" s="1081"/>
      <c r="G3" s="1081"/>
      <c r="H3" s="1082"/>
      <c r="I3" s="919"/>
      <c r="J3" s="896"/>
      <c r="K3" s="896"/>
      <c r="L3" s="896"/>
      <c r="P3"/>
      <c r="Q3"/>
      <c r="R3"/>
      <c r="S3"/>
      <c r="T3"/>
      <c r="U3"/>
      <c r="V3"/>
      <c r="W3"/>
      <c r="X3"/>
    </row>
    <row r="4" spans="1:24" ht="15" customHeight="1">
      <c r="A4" s="914"/>
      <c r="B4" s="931" t="s">
        <v>29</v>
      </c>
      <c r="C4" s="1081" t="s">
        <v>181</v>
      </c>
      <c r="D4" s="1081"/>
      <c r="E4" s="1081"/>
      <c r="F4" s="1081"/>
      <c r="G4" s="1081"/>
      <c r="H4" s="1082"/>
      <c r="I4" s="919"/>
      <c r="J4" s="896"/>
      <c r="K4" s="896"/>
      <c r="L4" s="896"/>
      <c r="P4"/>
      <c r="Q4"/>
      <c r="R4"/>
      <c r="S4"/>
      <c r="T4"/>
      <c r="U4"/>
      <c r="V4"/>
      <c r="W4"/>
      <c r="X4"/>
    </row>
    <row r="5" spans="1:24" ht="15" customHeight="1">
      <c r="A5" s="896"/>
      <c r="B5" s="913" t="s">
        <v>30</v>
      </c>
      <c r="C5" s="1044" t="s">
        <v>107</v>
      </c>
      <c r="D5" s="1044"/>
      <c r="E5" s="1044"/>
      <c r="F5" s="1044"/>
      <c r="G5" s="1044"/>
      <c r="H5" s="1082"/>
      <c r="I5" s="919"/>
      <c r="J5" s="896"/>
      <c r="K5" s="896"/>
      <c r="L5" s="896"/>
      <c r="P5"/>
      <c r="Q5"/>
      <c r="R5"/>
      <c r="S5"/>
      <c r="T5"/>
      <c r="U5"/>
      <c r="V5"/>
      <c r="W5"/>
      <c r="X5"/>
    </row>
    <row r="6" spans="1:24" ht="50.1" customHeight="1">
      <c r="A6" s="896"/>
      <c r="B6" s="913" t="s">
        <v>37</v>
      </c>
      <c r="C6" s="1044" t="s">
        <v>179</v>
      </c>
      <c r="D6" s="1048"/>
      <c r="E6" s="1048"/>
      <c r="F6" s="1048"/>
      <c r="G6" s="1048"/>
      <c r="H6" s="1082"/>
      <c r="I6" s="919"/>
      <c r="J6" s="896"/>
      <c r="K6" s="896"/>
      <c r="L6" s="896"/>
      <c r="P6"/>
      <c r="Q6"/>
      <c r="R6"/>
      <c r="S6"/>
      <c r="T6"/>
      <c r="U6"/>
      <c r="V6"/>
      <c r="W6"/>
      <c r="X6"/>
    </row>
    <row r="7" spans="1:24" s="82" customFormat="1" ht="30" customHeight="1" thickBot="1">
      <c r="A7" s="923"/>
      <c r="B7" s="924" t="s">
        <v>264</v>
      </c>
      <c r="C7" s="927"/>
      <c r="D7" s="925"/>
      <c r="E7" s="923"/>
      <c r="F7" s="926"/>
      <c r="G7" s="927"/>
      <c r="H7" s="928"/>
      <c r="I7" s="928"/>
      <c r="J7" s="929"/>
      <c r="K7" s="929"/>
      <c r="L7" s="929"/>
      <c r="M7" s="84"/>
      <c r="P7"/>
      <c r="Q7"/>
      <c r="R7"/>
      <c r="S7"/>
      <c r="T7"/>
      <c r="U7"/>
      <c r="V7"/>
      <c r="W7"/>
      <c r="X7"/>
    </row>
    <row r="8" spans="1:24"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c r="Q8"/>
      <c r="R8"/>
      <c r="S8"/>
      <c r="T8"/>
      <c r="U8"/>
      <c r="V8"/>
      <c r="W8"/>
      <c r="X8"/>
    </row>
    <row r="9" spans="1:24" ht="20.100000000000001" customHeight="1" thickBot="1">
      <c r="A9" s="896"/>
      <c r="B9" s="1110"/>
      <c r="C9" s="1080"/>
      <c r="D9" s="1080"/>
      <c r="E9" s="1080"/>
      <c r="F9" s="1080"/>
      <c r="G9" s="1080"/>
      <c r="H9" s="1080"/>
      <c r="I9" s="1077"/>
      <c r="J9" s="633">
        <f>Rok_ZPR</f>
        <v>2020</v>
      </c>
      <c r="K9" s="1076"/>
      <c r="L9" s="876"/>
      <c r="M9" s="87"/>
      <c r="N9" s="79"/>
      <c r="O9" s="79"/>
      <c r="P9"/>
      <c r="Q9"/>
      <c r="R9"/>
      <c r="S9"/>
      <c r="T9"/>
      <c r="U9"/>
      <c r="V9"/>
      <c r="W9"/>
      <c r="X9"/>
    </row>
    <row r="10" spans="1:24" ht="20.100000000000001" customHeight="1">
      <c r="A10" s="896"/>
      <c r="B10" s="1110"/>
      <c r="C10" s="1080"/>
      <c r="D10" s="1080"/>
      <c r="E10" s="1080"/>
      <c r="F10" s="1080"/>
      <c r="G10" s="1080"/>
      <c r="H10" s="1080"/>
      <c r="I10" s="1078"/>
      <c r="J10" s="633" t="str">
        <f>'Tab.G1.1-4'!$D$11</f>
        <v>[tys. zł]</v>
      </c>
      <c r="K10" s="1076"/>
      <c r="L10" s="907"/>
      <c r="M10" s="88"/>
      <c r="N10" s="79"/>
      <c r="O10" s="79"/>
      <c r="P10"/>
      <c r="Q10"/>
      <c r="R10"/>
      <c r="S10"/>
      <c r="T10"/>
      <c r="U10"/>
      <c r="V10"/>
      <c r="W10"/>
      <c r="X10"/>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c r="P13"/>
      <c r="Q13"/>
      <c r="R13"/>
      <c r="S13"/>
      <c r="T13"/>
      <c r="U13"/>
      <c r="V13"/>
      <c r="W13"/>
      <c r="X13"/>
    </row>
    <row r="14" spans="1:24" s="85" customFormat="1" ht="12.75" customHeight="1">
      <c r="A14" s="916"/>
      <c r="B14" s="1086"/>
      <c r="C14" s="1111"/>
      <c r="D14" s="1091"/>
      <c r="E14" s="1091"/>
      <c r="F14" s="1093"/>
      <c r="G14" s="98"/>
      <c r="H14" s="1091"/>
      <c r="I14" s="1091"/>
      <c r="J14" s="1084"/>
      <c r="K14" s="1084"/>
      <c r="L14" s="908"/>
      <c r="M14" s="89"/>
      <c r="N14" s="99" t="s">
        <v>24</v>
      </c>
      <c r="O14" s="100" t="s">
        <v>62</v>
      </c>
      <c r="P14"/>
      <c r="Q14"/>
      <c r="R14"/>
      <c r="S14"/>
      <c r="T14"/>
      <c r="U14"/>
      <c r="V14"/>
      <c r="W14"/>
      <c r="X14"/>
    </row>
    <row r="15" spans="1:24" s="85" customFormat="1" ht="12.75" customHeight="1">
      <c r="A15" s="916"/>
      <c r="B15" s="1087"/>
      <c r="C15" s="1112"/>
      <c r="D15" s="1092"/>
      <c r="E15" s="1092"/>
      <c r="F15" s="1094"/>
      <c r="G15" s="103"/>
      <c r="H15" s="1092"/>
      <c r="I15" s="1092"/>
      <c r="J15" s="1085"/>
      <c r="K15" s="1085"/>
      <c r="L15" s="908"/>
      <c r="M15" s="89"/>
      <c r="N15" s="99" t="s">
        <v>25</v>
      </c>
      <c r="O15" s="100" t="s">
        <v>26</v>
      </c>
      <c r="P15"/>
      <c r="Q15"/>
      <c r="R15"/>
      <c r="S15"/>
      <c r="T15"/>
      <c r="U15"/>
      <c r="V15"/>
      <c r="W15"/>
      <c r="X15"/>
    </row>
    <row r="16" spans="1:24"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c r="P16"/>
      <c r="Q16"/>
      <c r="R16"/>
      <c r="S16"/>
      <c r="T16"/>
      <c r="U16"/>
      <c r="V16"/>
      <c r="W16"/>
      <c r="X16"/>
    </row>
    <row r="17" spans="1:24" s="85" customFormat="1" ht="12.75" customHeight="1" thickBot="1">
      <c r="A17" s="916"/>
      <c r="B17" s="1086"/>
      <c r="C17" s="1095"/>
      <c r="D17" s="1091"/>
      <c r="E17" s="1091"/>
      <c r="F17" s="1093"/>
      <c r="G17" s="98"/>
      <c r="H17" s="1091"/>
      <c r="I17" s="1091"/>
      <c r="J17" s="1084"/>
      <c r="K17" s="1084"/>
      <c r="L17" s="908"/>
      <c r="M17" s="89"/>
      <c r="N17" s="104" t="s">
        <v>20</v>
      </c>
      <c r="O17" s="105" t="s">
        <v>20</v>
      </c>
      <c r="P17"/>
      <c r="Q17"/>
      <c r="R17"/>
      <c r="S17"/>
      <c r="T17"/>
      <c r="U17"/>
      <c r="V17"/>
      <c r="W17"/>
      <c r="X17"/>
    </row>
    <row r="18" spans="1:24" s="85" customFormat="1" ht="12.75" customHeight="1">
      <c r="A18" s="916"/>
      <c r="B18" s="1087"/>
      <c r="C18" s="1096"/>
      <c r="D18" s="1092"/>
      <c r="E18" s="1092"/>
      <c r="F18" s="1094"/>
      <c r="G18" s="103"/>
      <c r="H18" s="1092"/>
      <c r="I18" s="1092"/>
      <c r="J18" s="1085"/>
      <c r="K18" s="1085"/>
      <c r="L18" s="908"/>
      <c r="M18" s="89"/>
      <c r="N18" s="106"/>
      <c r="O18" s="107"/>
      <c r="P18"/>
      <c r="Q18"/>
      <c r="R18"/>
      <c r="S18"/>
      <c r="T18"/>
      <c r="U18"/>
      <c r="V18"/>
      <c r="W18"/>
      <c r="X18"/>
    </row>
    <row r="19" spans="1:24" s="85" customFormat="1" ht="12.75" customHeight="1">
      <c r="A19" s="916"/>
      <c r="B19" s="1086">
        <v>3</v>
      </c>
      <c r="C19" s="1095"/>
      <c r="D19" s="1091"/>
      <c r="E19" s="1091" t="s">
        <v>20</v>
      </c>
      <c r="F19" s="1093" t="str">
        <f>VLOOKUP(E19,$N$13:$O$17,2,0)</f>
        <v>-</v>
      </c>
      <c r="G19" s="95"/>
      <c r="H19" s="1091"/>
      <c r="I19" s="1091"/>
      <c r="J19" s="1083"/>
      <c r="K19" s="1083"/>
      <c r="L19" s="908"/>
      <c r="M19" s="89"/>
      <c r="N19" s="106"/>
      <c r="O19" s="107"/>
      <c r="P19"/>
      <c r="Q19"/>
      <c r="R19"/>
      <c r="S19"/>
      <c r="T19"/>
      <c r="U19"/>
      <c r="V19"/>
      <c r="W19"/>
      <c r="X19"/>
    </row>
    <row r="20" spans="1:24" s="85" customFormat="1" ht="12.75" customHeight="1">
      <c r="A20" s="916"/>
      <c r="B20" s="1086"/>
      <c r="C20" s="1095"/>
      <c r="D20" s="1091"/>
      <c r="E20" s="1091"/>
      <c r="F20" s="1093"/>
      <c r="G20" s="98"/>
      <c r="H20" s="1091"/>
      <c r="I20" s="1091"/>
      <c r="J20" s="1084"/>
      <c r="K20" s="1084"/>
      <c r="L20" s="908"/>
      <c r="M20" s="89"/>
      <c r="N20" s="106"/>
      <c r="O20" s="107"/>
      <c r="P20"/>
      <c r="Q20"/>
      <c r="R20"/>
      <c r="S20"/>
      <c r="T20"/>
      <c r="U20"/>
      <c r="V20"/>
      <c r="W20"/>
      <c r="X20"/>
    </row>
    <row r="21" spans="1:24" s="85" customFormat="1" ht="12.75" customHeight="1">
      <c r="A21" s="916"/>
      <c r="B21" s="1087"/>
      <c r="C21" s="1096"/>
      <c r="D21" s="1092"/>
      <c r="E21" s="1092"/>
      <c r="F21" s="1094"/>
      <c r="G21" s="103"/>
      <c r="H21" s="1092"/>
      <c r="I21" s="1092"/>
      <c r="J21" s="1085"/>
      <c r="K21" s="1085"/>
      <c r="L21" s="908"/>
      <c r="M21" s="89"/>
      <c r="N21" s="106"/>
      <c r="O21" s="107"/>
      <c r="P21"/>
      <c r="Q21"/>
      <c r="R21"/>
      <c r="S21"/>
      <c r="T21"/>
      <c r="U21"/>
      <c r="V21"/>
      <c r="W21"/>
      <c r="X21"/>
    </row>
    <row r="22" spans="1:24" s="85" customFormat="1" ht="12.75" customHeight="1">
      <c r="A22" s="916"/>
      <c r="B22" s="1086">
        <v>4</v>
      </c>
      <c r="C22" s="1095"/>
      <c r="D22" s="1091"/>
      <c r="E22" s="1091" t="s">
        <v>20</v>
      </c>
      <c r="F22" s="1093" t="str">
        <f>VLOOKUP(E22,$N$13:$O$17,2,0)</f>
        <v>-</v>
      </c>
      <c r="G22" s="95"/>
      <c r="H22" s="1091"/>
      <c r="I22" s="1091"/>
      <c r="J22" s="1083"/>
      <c r="K22" s="1083"/>
      <c r="L22" s="908"/>
      <c r="M22" s="89"/>
      <c r="N22" s="106"/>
      <c r="O22" s="107"/>
      <c r="P22"/>
      <c r="Q22"/>
      <c r="R22"/>
      <c r="S22"/>
      <c r="T22"/>
      <c r="U22"/>
      <c r="V22"/>
      <c r="W22"/>
      <c r="X22"/>
    </row>
    <row r="23" spans="1:24" s="85" customFormat="1" ht="12.75" customHeight="1">
      <c r="A23" s="916"/>
      <c r="B23" s="1086"/>
      <c r="C23" s="1095"/>
      <c r="D23" s="1091"/>
      <c r="E23" s="1091"/>
      <c r="F23" s="1093"/>
      <c r="G23" s="98"/>
      <c r="H23" s="1091"/>
      <c r="I23" s="1091"/>
      <c r="J23" s="1084"/>
      <c r="K23" s="1084"/>
      <c r="L23" s="908"/>
      <c r="M23" s="89"/>
      <c r="N23" s="106"/>
      <c r="O23" s="107"/>
      <c r="P23"/>
      <c r="Q23"/>
      <c r="R23"/>
      <c r="S23"/>
      <c r="T23"/>
      <c r="U23"/>
      <c r="V23"/>
      <c r="W23"/>
      <c r="X23"/>
    </row>
    <row r="24" spans="1:24" s="85" customFormat="1" ht="12.75" customHeight="1">
      <c r="A24" s="916"/>
      <c r="B24" s="1087"/>
      <c r="C24" s="1096"/>
      <c r="D24" s="1092"/>
      <c r="E24" s="1092"/>
      <c r="F24" s="1094"/>
      <c r="G24" s="103"/>
      <c r="H24" s="1092"/>
      <c r="I24" s="1092"/>
      <c r="J24" s="1085"/>
      <c r="K24" s="1085"/>
      <c r="L24" s="908"/>
      <c r="M24" s="89"/>
      <c r="N24" s="106"/>
      <c r="O24" s="107"/>
      <c r="P24"/>
      <c r="Q24"/>
      <c r="R24"/>
      <c r="S24"/>
      <c r="T24"/>
      <c r="U24"/>
      <c r="V24"/>
      <c r="W24"/>
      <c r="X24"/>
    </row>
    <row r="25" spans="1:24" s="85" customFormat="1" ht="12.75" customHeight="1">
      <c r="A25" s="916"/>
      <c r="B25" s="1086">
        <v>5</v>
      </c>
      <c r="C25" s="1095"/>
      <c r="D25" s="1091"/>
      <c r="E25" s="1091" t="s">
        <v>20</v>
      </c>
      <c r="F25" s="1093" t="str">
        <f>VLOOKUP(E25,$N$13:$O$17,2,0)</f>
        <v>-</v>
      </c>
      <c r="G25" s="95"/>
      <c r="H25" s="1091"/>
      <c r="I25" s="1091"/>
      <c r="J25" s="1083"/>
      <c r="K25" s="1083"/>
      <c r="L25" s="908"/>
      <c r="M25" s="89"/>
      <c r="N25" s="106"/>
      <c r="O25" s="107"/>
      <c r="P25"/>
      <c r="Q25"/>
      <c r="R25"/>
      <c r="S25"/>
      <c r="T25"/>
      <c r="U25"/>
      <c r="V25"/>
      <c r="W25"/>
      <c r="X25"/>
    </row>
    <row r="26" spans="1:24" s="85" customFormat="1" ht="12.75" customHeight="1">
      <c r="A26" s="916"/>
      <c r="B26" s="1086"/>
      <c r="C26" s="1095"/>
      <c r="D26" s="1091"/>
      <c r="E26" s="1091"/>
      <c r="F26" s="1093"/>
      <c r="G26" s="98"/>
      <c r="H26" s="1091"/>
      <c r="I26" s="1091"/>
      <c r="J26" s="1084"/>
      <c r="K26" s="1084"/>
      <c r="L26" s="908"/>
      <c r="M26" s="89"/>
      <c r="N26" s="106"/>
      <c r="O26" s="107"/>
      <c r="P26"/>
      <c r="Q26"/>
      <c r="R26"/>
      <c r="S26"/>
      <c r="T26"/>
      <c r="U26"/>
      <c r="V26"/>
      <c r="W26"/>
      <c r="X26"/>
    </row>
    <row r="27" spans="1:24" s="85" customFormat="1" ht="12.75" customHeight="1">
      <c r="A27" s="916"/>
      <c r="B27" s="1087"/>
      <c r="C27" s="1096"/>
      <c r="D27" s="1092"/>
      <c r="E27" s="1092"/>
      <c r="F27" s="1094"/>
      <c r="G27" s="103"/>
      <c r="H27" s="1092"/>
      <c r="I27" s="1092"/>
      <c r="J27" s="1085"/>
      <c r="K27" s="1085"/>
      <c r="L27" s="908"/>
      <c r="M27" s="89"/>
      <c r="N27" s="106"/>
      <c r="O27" s="107"/>
      <c r="P27"/>
      <c r="Q27"/>
      <c r="R27"/>
      <c r="S27"/>
      <c r="T27"/>
      <c r="U27"/>
      <c r="V27"/>
      <c r="W27"/>
      <c r="X27"/>
    </row>
    <row r="28" spans="1:24" s="85" customFormat="1" ht="12.75" customHeight="1">
      <c r="A28" s="916"/>
      <c r="B28" s="1086">
        <v>6</v>
      </c>
      <c r="C28" s="1095"/>
      <c r="D28" s="1091"/>
      <c r="E28" s="1091" t="s">
        <v>20</v>
      </c>
      <c r="F28" s="1093" t="str">
        <f>VLOOKUP(E28,$N$13:$O$17,2,0)</f>
        <v>-</v>
      </c>
      <c r="G28" s="95"/>
      <c r="H28" s="1091"/>
      <c r="I28" s="1091"/>
      <c r="J28" s="1083"/>
      <c r="K28" s="1083"/>
      <c r="L28" s="908"/>
      <c r="M28" s="89"/>
      <c r="N28" s="106"/>
      <c r="O28" s="107"/>
      <c r="P28"/>
      <c r="Q28"/>
      <c r="R28"/>
      <c r="S28"/>
      <c r="T28"/>
      <c r="U28"/>
      <c r="V28"/>
      <c r="W28"/>
      <c r="X28"/>
    </row>
    <row r="29" spans="1:24" s="85" customFormat="1" ht="12.75" customHeight="1">
      <c r="A29" s="916"/>
      <c r="B29" s="1086"/>
      <c r="C29" s="1095"/>
      <c r="D29" s="1091"/>
      <c r="E29" s="1091"/>
      <c r="F29" s="1093"/>
      <c r="G29" s="98"/>
      <c r="H29" s="1091"/>
      <c r="I29" s="1091"/>
      <c r="J29" s="1084"/>
      <c r="K29" s="1084"/>
      <c r="L29" s="908"/>
      <c r="M29" s="89"/>
      <c r="N29" s="106"/>
      <c r="O29" s="107"/>
      <c r="P29"/>
      <c r="Q29"/>
      <c r="R29"/>
      <c r="S29"/>
      <c r="T29"/>
      <c r="U29"/>
      <c r="V29"/>
      <c r="W29"/>
      <c r="X29"/>
    </row>
    <row r="30" spans="1:24" s="85" customFormat="1" ht="12.75" customHeight="1">
      <c r="A30" s="916"/>
      <c r="B30" s="1087"/>
      <c r="C30" s="1096"/>
      <c r="D30" s="1092"/>
      <c r="E30" s="1092"/>
      <c r="F30" s="1094"/>
      <c r="G30" s="103"/>
      <c r="H30" s="1092"/>
      <c r="I30" s="1092"/>
      <c r="J30" s="1085"/>
      <c r="K30" s="1085"/>
      <c r="L30" s="908"/>
      <c r="M30" s="89"/>
      <c r="N30" s="106"/>
      <c r="O30" s="107"/>
      <c r="P30"/>
      <c r="Q30"/>
      <c r="R30"/>
      <c r="S30"/>
      <c r="T30"/>
      <c r="U30"/>
      <c r="V30"/>
      <c r="W30"/>
      <c r="X30"/>
    </row>
    <row r="31" spans="1:24" s="85" customFormat="1" ht="12.75" customHeight="1">
      <c r="A31" s="916"/>
      <c r="B31" s="1086">
        <v>7</v>
      </c>
      <c r="C31" s="1095"/>
      <c r="D31" s="1091"/>
      <c r="E31" s="1091" t="s">
        <v>20</v>
      </c>
      <c r="F31" s="1093" t="str">
        <f>VLOOKUP(E31,$N$13:$O$17,2,0)</f>
        <v>-</v>
      </c>
      <c r="G31" s="95"/>
      <c r="H31" s="1091"/>
      <c r="I31" s="1091"/>
      <c r="J31" s="1083"/>
      <c r="K31" s="1083"/>
      <c r="L31" s="908"/>
      <c r="M31" s="89"/>
      <c r="N31" s="106"/>
      <c r="O31" s="107"/>
      <c r="P31"/>
      <c r="Q31"/>
      <c r="R31"/>
      <c r="S31"/>
      <c r="T31"/>
      <c r="U31"/>
      <c r="V31"/>
      <c r="W31"/>
      <c r="X31"/>
    </row>
    <row r="32" spans="1:24" s="85" customFormat="1" ht="12.75" customHeight="1">
      <c r="A32" s="916"/>
      <c r="B32" s="1086"/>
      <c r="C32" s="1095"/>
      <c r="D32" s="1091"/>
      <c r="E32" s="1091"/>
      <c r="F32" s="1093"/>
      <c r="G32" s="98"/>
      <c r="H32" s="1091"/>
      <c r="I32" s="1091"/>
      <c r="J32" s="1084"/>
      <c r="K32" s="1084"/>
      <c r="L32" s="908"/>
      <c r="M32" s="89"/>
      <c r="N32" s="106"/>
      <c r="O32" s="107"/>
      <c r="P32"/>
      <c r="Q32"/>
      <c r="R32"/>
      <c r="S32"/>
      <c r="T32"/>
      <c r="U32"/>
      <c r="V32"/>
      <c r="W32"/>
      <c r="X32"/>
    </row>
    <row r="33" spans="1:24" s="85" customFormat="1" ht="12.75" customHeight="1">
      <c r="A33" s="916"/>
      <c r="B33" s="1087"/>
      <c r="C33" s="1096"/>
      <c r="D33" s="1092"/>
      <c r="E33" s="1092"/>
      <c r="F33" s="1094"/>
      <c r="G33" s="103"/>
      <c r="H33" s="1092"/>
      <c r="I33" s="1092"/>
      <c r="J33" s="1085"/>
      <c r="K33" s="1085"/>
      <c r="L33" s="908"/>
      <c r="M33" s="89"/>
      <c r="N33" s="106"/>
      <c r="O33" s="107"/>
      <c r="P33"/>
      <c r="Q33"/>
      <c r="R33"/>
      <c r="S33"/>
      <c r="T33"/>
      <c r="U33"/>
      <c r="V33"/>
      <c r="W33"/>
      <c r="X33"/>
    </row>
    <row r="34" spans="1:24" s="85" customFormat="1" ht="12.75" customHeight="1">
      <c r="A34" s="916"/>
      <c r="B34" s="1086">
        <v>8</v>
      </c>
      <c r="C34" s="1095"/>
      <c r="D34" s="1091"/>
      <c r="E34" s="1091" t="s">
        <v>20</v>
      </c>
      <c r="F34" s="1093" t="str">
        <f>VLOOKUP(E34,$N$13:$O$17,2,0)</f>
        <v>-</v>
      </c>
      <c r="G34" s="95"/>
      <c r="H34" s="1091"/>
      <c r="I34" s="1091"/>
      <c r="J34" s="1083"/>
      <c r="K34" s="1083"/>
      <c r="L34" s="908"/>
      <c r="M34" s="89"/>
      <c r="N34" s="106"/>
      <c r="O34" s="107"/>
      <c r="P34"/>
      <c r="Q34"/>
      <c r="R34"/>
      <c r="S34"/>
      <c r="T34"/>
      <c r="U34"/>
      <c r="V34"/>
      <c r="W34"/>
      <c r="X34"/>
    </row>
    <row r="35" spans="1:24" s="85" customFormat="1" ht="12.75" customHeight="1">
      <c r="A35" s="916"/>
      <c r="B35" s="1086"/>
      <c r="C35" s="1095"/>
      <c r="D35" s="1091"/>
      <c r="E35" s="1091"/>
      <c r="F35" s="1093"/>
      <c r="G35" s="94"/>
      <c r="H35" s="1091"/>
      <c r="I35" s="1091"/>
      <c r="J35" s="1084"/>
      <c r="K35" s="1084"/>
      <c r="L35" s="908"/>
      <c r="M35" s="89"/>
      <c r="N35" s="106"/>
      <c r="O35" s="107"/>
      <c r="P35"/>
      <c r="Q35"/>
      <c r="R35"/>
      <c r="S35"/>
      <c r="T35"/>
      <c r="U35"/>
      <c r="V35"/>
      <c r="W35"/>
      <c r="X35"/>
    </row>
    <row r="36" spans="1:24" s="85" customFormat="1" ht="12.75" customHeight="1">
      <c r="A36" s="916"/>
      <c r="B36" s="1087"/>
      <c r="C36" s="1096"/>
      <c r="D36" s="1092"/>
      <c r="E36" s="1092"/>
      <c r="F36" s="1094"/>
      <c r="G36" s="103"/>
      <c r="H36" s="1092"/>
      <c r="I36" s="1092"/>
      <c r="J36" s="1085"/>
      <c r="K36" s="1085"/>
      <c r="L36" s="908"/>
      <c r="M36" s="89"/>
      <c r="N36" s="106"/>
      <c r="O36" s="107"/>
      <c r="P36"/>
      <c r="Q36"/>
      <c r="R36"/>
      <c r="S36"/>
      <c r="T36"/>
      <c r="U36"/>
      <c r="V36"/>
      <c r="W36"/>
      <c r="X36"/>
    </row>
    <row r="37" spans="1:24" s="85" customFormat="1" ht="12.75" customHeight="1">
      <c r="A37" s="916"/>
      <c r="B37" s="1086">
        <v>9</v>
      </c>
      <c r="C37" s="1095"/>
      <c r="D37" s="1091"/>
      <c r="E37" s="1091" t="s">
        <v>20</v>
      </c>
      <c r="F37" s="1093" t="str">
        <f>VLOOKUP(E37,$N$13:$O$17,2,0)</f>
        <v>-</v>
      </c>
      <c r="G37" s="95"/>
      <c r="H37" s="1091"/>
      <c r="I37" s="1091"/>
      <c r="J37" s="1083"/>
      <c r="K37" s="1083"/>
      <c r="L37" s="908"/>
      <c r="M37" s="89"/>
      <c r="N37" s="106"/>
      <c r="O37" s="107"/>
      <c r="P37"/>
      <c r="Q37"/>
      <c r="R37"/>
      <c r="S37"/>
      <c r="T37"/>
      <c r="U37"/>
      <c r="V37"/>
      <c r="W37"/>
      <c r="X37"/>
    </row>
    <row r="38" spans="1:24" s="85" customFormat="1" ht="12.75" customHeight="1">
      <c r="A38" s="916"/>
      <c r="B38" s="1086"/>
      <c r="C38" s="1095"/>
      <c r="D38" s="1091"/>
      <c r="E38" s="1091"/>
      <c r="F38" s="1093"/>
      <c r="G38" s="98"/>
      <c r="H38" s="1091"/>
      <c r="I38" s="1091"/>
      <c r="J38" s="1084"/>
      <c r="K38" s="1084"/>
      <c r="L38" s="908"/>
      <c r="M38" s="89"/>
      <c r="N38" s="106"/>
      <c r="O38" s="107"/>
      <c r="P38"/>
      <c r="Q38"/>
      <c r="R38"/>
      <c r="S38"/>
      <c r="T38"/>
      <c r="U38"/>
      <c r="V38"/>
      <c r="W38"/>
      <c r="X38"/>
    </row>
    <row r="39" spans="1:24" s="85" customFormat="1" ht="12.75" customHeight="1">
      <c r="A39" s="916"/>
      <c r="B39" s="1087"/>
      <c r="C39" s="1096"/>
      <c r="D39" s="1092"/>
      <c r="E39" s="1092"/>
      <c r="F39" s="1094"/>
      <c r="G39" s="103"/>
      <c r="H39" s="1092"/>
      <c r="I39" s="1092"/>
      <c r="J39" s="1085"/>
      <c r="K39" s="1085"/>
      <c r="L39" s="908"/>
      <c r="M39" s="89"/>
      <c r="N39" s="106"/>
      <c r="O39" s="107"/>
      <c r="P39"/>
      <c r="Q39"/>
      <c r="R39"/>
      <c r="S39"/>
      <c r="T39"/>
      <c r="U39"/>
      <c r="V39"/>
      <c r="W39"/>
      <c r="X39"/>
    </row>
    <row r="40" spans="1:24" s="85" customFormat="1" ht="12.75" customHeight="1">
      <c r="A40" s="916"/>
      <c r="B40" s="1086">
        <v>10</v>
      </c>
      <c r="C40" s="1095"/>
      <c r="D40" s="1091"/>
      <c r="E40" s="1091" t="s">
        <v>20</v>
      </c>
      <c r="F40" s="1093" t="str">
        <f>VLOOKUP(E40,$N$13:$O$17,2,0)</f>
        <v>-</v>
      </c>
      <c r="G40" s="95"/>
      <c r="H40" s="1091"/>
      <c r="I40" s="1091"/>
      <c r="J40" s="1083"/>
      <c r="K40" s="1083"/>
      <c r="L40" s="908"/>
      <c r="M40" s="89"/>
      <c r="N40" s="106"/>
      <c r="O40" s="107"/>
      <c r="P40"/>
      <c r="Q40"/>
      <c r="R40"/>
      <c r="S40"/>
      <c r="T40"/>
      <c r="U40"/>
      <c r="V40"/>
      <c r="W40"/>
      <c r="X40"/>
    </row>
    <row r="41" spans="1:24" s="85" customFormat="1" ht="12.75" customHeight="1">
      <c r="A41" s="916"/>
      <c r="B41" s="1086"/>
      <c r="C41" s="1095"/>
      <c r="D41" s="1091"/>
      <c r="E41" s="1091"/>
      <c r="F41" s="1093"/>
      <c r="G41" s="98"/>
      <c r="H41" s="1091"/>
      <c r="I41" s="1091"/>
      <c r="J41" s="1084"/>
      <c r="K41" s="1084"/>
      <c r="L41" s="908"/>
      <c r="M41" s="89"/>
      <c r="N41" s="106"/>
      <c r="O41" s="107"/>
      <c r="P41"/>
      <c r="Q41"/>
      <c r="R41"/>
      <c r="S41"/>
      <c r="T41"/>
      <c r="U41"/>
      <c r="V41"/>
      <c r="W41"/>
      <c r="X41"/>
    </row>
    <row r="42" spans="1:24" s="85" customFormat="1" ht="12.75" customHeight="1" thickBot="1">
      <c r="A42" s="916"/>
      <c r="B42" s="1087"/>
      <c r="C42" s="1096"/>
      <c r="D42" s="1092"/>
      <c r="E42" s="1092"/>
      <c r="F42" s="1094"/>
      <c r="G42" s="103"/>
      <c r="H42" s="1092"/>
      <c r="I42" s="1092"/>
      <c r="J42" s="1085"/>
      <c r="K42" s="1085"/>
      <c r="L42" s="908"/>
      <c r="M42" s="89"/>
      <c r="N42" s="106"/>
      <c r="O42" s="107"/>
    </row>
    <row r="43" spans="1:24"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24" s="106" customFormat="1" ht="15.75" hidden="1" customHeight="1" outlineLevel="1">
      <c r="A44" s="932"/>
      <c r="B44" s="1086"/>
      <c r="C44" s="1095"/>
      <c r="D44" s="1091"/>
      <c r="E44" s="1091"/>
      <c r="F44" s="1093"/>
      <c r="G44" s="98"/>
      <c r="H44" s="1091"/>
      <c r="I44" s="1091"/>
      <c r="J44" s="1084"/>
      <c r="K44" s="1084"/>
      <c r="L44" s="932"/>
    </row>
    <row r="45" spans="1:24" s="83" customFormat="1" ht="15.75" hidden="1" customHeight="1" outlineLevel="1">
      <c r="A45" s="926"/>
      <c r="B45" s="1087"/>
      <c r="C45" s="1096"/>
      <c r="D45" s="1092"/>
      <c r="E45" s="1092"/>
      <c r="F45" s="1094"/>
      <c r="G45" s="103"/>
      <c r="H45" s="1092"/>
      <c r="I45" s="1092"/>
      <c r="J45" s="1085"/>
      <c r="K45" s="1085"/>
      <c r="L45" s="926"/>
    </row>
    <row r="46" spans="1:24"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24" s="106" customFormat="1" ht="15.75" hidden="1" customHeight="1" outlineLevel="1">
      <c r="A47" s="932"/>
      <c r="B47" s="1086"/>
      <c r="C47" s="1095"/>
      <c r="D47" s="1091"/>
      <c r="E47" s="1091"/>
      <c r="F47" s="1093"/>
      <c r="G47" s="98"/>
      <c r="H47" s="1091"/>
      <c r="I47" s="1091"/>
      <c r="J47" s="1084"/>
      <c r="K47" s="1084"/>
      <c r="L47" s="932"/>
    </row>
    <row r="48" spans="1:24"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93"/>
      <c r="I142" s="1091"/>
      <c r="J142" s="1083"/>
      <c r="K142" s="1083"/>
      <c r="L142" s="932"/>
    </row>
    <row r="143" spans="1:12" s="106" customFormat="1" ht="15.75" hidden="1" customHeight="1" outlineLevel="1">
      <c r="A143" s="932"/>
      <c r="B143" s="1086"/>
      <c r="C143" s="1095"/>
      <c r="D143" s="1091"/>
      <c r="E143" s="1091"/>
      <c r="F143" s="1093"/>
      <c r="G143" s="98"/>
      <c r="H143" s="93"/>
      <c r="I143" s="1091"/>
      <c r="J143" s="1084"/>
      <c r="K143" s="1084"/>
      <c r="L143" s="932"/>
    </row>
    <row r="144" spans="1:12" s="106" customFormat="1" ht="15.75" hidden="1" customHeight="1" outlineLevel="1">
      <c r="A144" s="932"/>
      <c r="B144" s="1087"/>
      <c r="C144" s="1096"/>
      <c r="D144" s="1092"/>
      <c r="E144" s="1092"/>
      <c r="F144" s="1094"/>
      <c r="G144" s="103"/>
      <c r="H144" s="101"/>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93"/>
      <c r="I145" s="1091"/>
      <c r="J145" s="1083"/>
      <c r="K145" s="1083"/>
      <c r="L145" s="932"/>
    </row>
    <row r="146" spans="1:12" s="106" customFormat="1" ht="15.75" hidden="1" customHeight="1" outlineLevel="1">
      <c r="A146" s="932"/>
      <c r="B146" s="1086"/>
      <c r="C146" s="1095"/>
      <c r="D146" s="1091"/>
      <c r="E146" s="1091"/>
      <c r="F146" s="1093"/>
      <c r="G146" s="98"/>
      <c r="H146" s="93"/>
      <c r="I146" s="1091"/>
      <c r="J146" s="1084"/>
      <c r="K146" s="1084"/>
      <c r="L146" s="932"/>
    </row>
    <row r="147" spans="1:12" s="106" customFormat="1" ht="15.75" hidden="1" customHeight="1" outlineLevel="1">
      <c r="A147" s="932"/>
      <c r="B147" s="1087"/>
      <c r="C147" s="1096"/>
      <c r="D147" s="1092"/>
      <c r="E147" s="1092"/>
      <c r="F147" s="1094"/>
      <c r="G147" s="103"/>
      <c r="H147" s="101"/>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93"/>
      <c r="I148" s="1091"/>
      <c r="J148" s="1083"/>
      <c r="K148" s="1083"/>
      <c r="L148" s="932"/>
    </row>
    <row r="149" spans="1:12" s="106" customFormat="1" ht="15.75" hidden="1" customHeight="1" outlineLevel="1">
      <c r="A149" s="932"/>
      <c r="B149" s="1086"/>
      <c r="C149" s="1095"/>
      <c r="D149" s="1091"/>
      <c r="E149" s="1091"/>
      <c r="F149" s="1093"/>
      <c r="G149" s="98"/>
      <c r="H149" s="93"/>
      <c r="I149" s="1091"/>
      <c r="J149" s="1084"/>
      <c r="K149" s="1084"/>
      <c r="L149" s="932"/>
    </row>
    <row r="150" spans="1:12" s="106" customFormat="1" ht="15.75" hidden="1" customHeight="1" outlineLevel="1">
      <c r="A150" s="932"/>
      <c r="B150" s="1087"/>
      <c r="C150" s="1096"/>
      <c r="D150" s="1092"/>
      <c r="E150" s="1092"/>
      <c r="F150" s="1094"/>
      <c r="G150" s="103"/>
      <c r="H150" s="101"/>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93"/>
      <c r="I151" s="1091"/>
      <c r="J151" s="1083"/>
      <c r="K151" s="1083"/>
      <c r="L151" s="932"/>
    </row>
    <row r="152" spans="1:12" s="106" customFormat="1" ht="15.75" hidden="1" customHeight="1" outlineLevel="1">
      <c r="A152" s="932"/>
      <c r="B152" s="1086"/>
      <c r="C152" s="1095"/>
      <c r="D152" s="1091"/>
      <c r="E152" s="1091"/>
      <c r="F152" s="1093"/>
      <c r="G152" s="98"/>
      <c r="H152" s="93"/>
      <c r="I152" s="1091"/>
      <c r="J152" s="1084"/>
      <c r="K152" s="1084"/>
      <c r="L152" s="932"/>
    </row>
    <row r="153" spans="1:12" s="106" customFormat="1" ht="15.75" hidden="1" customHeight="1" outlineLevel="1">
      <c r="A153" s="932"/>
      <c r="B153" s="1087"/>
      <c r="C153" s="1096"/>
      <c r="D153" s="1092"/>
      <c r="E153" s="1092"/>
      <c r="F153" s="1094"/>
      <c r="G153" s="103"/>
      <c r="H153" s="101"/>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93"/>
      <c r="I154" s="1091"/>
      <c r="J154" s="1083"/>
      <c r="K154" s="1083"/>
      <c r="L154" s="932"/>
    </row>
    <row r="155" spans="1:12" s="106" customFormat="1" ht="15.75" hidden="1" customHeight="1" outlineLevel="1">
      <c r="A155" s="932"/>
      <c r="B155" s="1086"/>
      <c r="C155" s="1095"/>
      <c r="D155" s="1091"/>
      <c r="E155" s="1091"/>
      <c r="F155" s="1093"/>
      <c r="G155" s="98"/>
      <c r="H155" s="93"/>
      <c r="I155" s="1091"/>
      <c r="J155" s="1084"/>
      <c r="K155" s="1084"/>
      <c r="L155" s="932"/>
    </row>
    <row r="156" spans="1:12" s="106" customFormat="1" ht="15.75" hidden="1" customHeight="1" outlineLevel="1">
      <c r="A156" s="932"/>
      <c r="B156" s="1087"/>
      <c r="C156" s="1096"/>
      <c r="D156" s="1092"/>
      <c r="E156" s="1092"/>
      <c r="F156" s="1094"/>
      <c r="G156" s="103"/>
      <c r="H156" s="101"/>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93"/>
      <c r="I157" s="1091"/>
      <c r="J157" s="1083"/>
      <c r="K157" s="1083"/>
      <c r="L157" s="932"/>
    </row>
    <row r="158" spans="1:12" s="106" customFormat="1" ht="15.75" hidden="1" customHeight="1" outlineLevel="1">
      <c r="A158" s="932"/>
      <c r="B158" s="1086"/>
      <c r="C158" s="1095"/>
      <c r="D158" s="1091"/>
      <c r="E158" s="1091"/>
      <c r="F158" s="1093"/>
      <c r="G158" s="98"/>
      <c r="H158" s="93"/>
      <c r="I158" s="1091"/>
      <c r="J158" s="1084"/>
      <c r="K158" s="1084"/>
      <c r="L158" s="932"/>
    </row>
    <row r="159" spans="1:12" s="106" customFormat="1" ht="15.75" hidden="1" customHeight="1" outlineLevel="1">
      <c r="A159" s="932"/>
      <c r="B159" s="1087"/>
      <c r="C159" s="1096"/>
      <c r="D159" s="1092"/>
      <c r="E159" s="1092"/>
      <c r="F159" s="1094"/>
      <c r="G159" s="103"/>
      <c r="H159" s="101"/>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93"/>
      <c r="I160" s="1091"/>
      <c r="J160" s="1083"/>
      <c r="K160" s="1083"/>
      <c r="L160" s="932"/>
    </row>
    <row r="161" spans="1:12" s="106" customFormat="1" ht="15.75" hidden="1" customHeight="1" outlineLevel="1">
      <c r="A161" s="932"/>
      <c r="B161" s="1086"/>
      <c r="C161" s="1095"/>
      <c r="D161" s="1091"/>
      <c r="E161" s="1091"/>
      <c r="F161" s="1093"/>
      <c r="G161" s="98"/>
      <c r="H161" s="93"/>
      <c r="I161" s="1091"/>
      <c r="J161" s="1084"/>
      <c r="K161" s="1084"/>
      <c r="L161" s="932"/>
    </row>
    <row r="162" spans="1:12" s="106" customFormat="1" ht="15.75" hidden="1" customHeight="1" outlineLevel="1">
      <c r="A162" s="932"/>
      <c r="B162" s="1087"/>
      <c r="C162" s="1096"/>
      <c r="D162" s="1092"/>
      <c r="E162" s="1092"/>
      <c r="F162" s="1094"/>
      <c r="G162" s="103"/>
      <c r="H162" s="101"/>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93"/>
      <c r="I163" s="1091"/>
      <c r="J163" s="1083"/>
      <c r="K163" s="1083"/>
      <c r="L163" s="932"/>
    </row>
    <row r="164" spans="1:12" s="106" customFormat="1" ht="15.75" hidden="1" customHeight="1" outlineLevel="1">
      <c r="A164" s="932"/>
      <c r="B164" s="1086"/>
      <c r="C164" s="1095"/>
      <c r="D164" s="1091"/>
      <c r="E164" s="1091"/>
      <c r="F164" s="1093"/>
      <c r="G164" s="98"/>
      <c r="H164" s="93"/>
      <c r="I164" s="1091"/>
      <c r="J164" s="1084"/>
      <c r="K164" s="1084"/>
      <c r="L164" s="932"/>
    </row>
    <row r="165" spans="1:12" s="106" customFormat="1" ht="15.75" hidden="1" customHeight="1" outlineLevel="1">
      <c r="A165" s="932"/>
      <c r="B165" s="1087"/>
      <c r="C165" s="1096"/>
      <c r="D165" s="1092"/>
      <c r="E165" s="1092"/>
      <c r="F165" s="1094"/>
      <c r="G165" s="103"/>
      <c r="H165" s="101"/>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93"/>
      <c r="I166" s="1091"/>
      <c r="J166" s="1083"/>
      <c r="K166" s="1083"/>
      <c r="L166" s="932"/>
    </row>
    <row r="167" spans="1:12" s="106" customFormat="1" ht="15.75" hidden="1" customHeight="1" outlineLevel="1">
      <c r="A167" s="932"/>
      <c r="B167" s="1086"/>
      <c r="C167" s="1095"/>
      <c r="D167" s="1091"/>
      <c r="E167" s="1091"/>
      <c r="F167" s="1093"/>
      <c r="G167" s="98"/>
      <c r="H167" s="93"/>
      <c r="I167" s="1091"/>
      <c r="J167" s="1084"/>
      <c r="K167" s="1084"/>
      <c r="L167" s="932"/>
    </row>
    <row r="168" spans="1:12" s="106" customFormat="1" ht="15.75" hidden="1" customHeight="1" outlineLevel="1">
      <c r="A168" s="932"/>
      <c r="B168" s="1087"/>
      <c r="C168" s="1096"/>
      <c r="D168" s="1092"/>
      <c r="E168" s="1092"/>
      <c r="F168" s="1094"/>
      <c r="G168" s="103"/>
      <c r="H168" s="101"/>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93"/>
      <c r="I169" s="1091"/>
      <c r="J169" s="1083"/>
      <c r="K169" s="1083"/>
      <c r="L169" s="932"/>
    </row>
    <row r="170" spans="1:12" s="106" customFormat="1" ht="15.75" hidden="1" customHeight="1" outlineLevel="1">
      <c r="A170" s="932"/>
      <c r="B170" s="1086"/>
      <c r="C170" s="1095"/>
      <c r="D170" s="1091"/>
      <c r="E170" s="1091"/>
      <c r="F170" s="1093"/>
      <c r="G170" s="98"/>
      <c r="H170" s="93"/>
      <c r="I170" s="1091"/>
      <c r="J170" s="1084"/>
      <c r="K170" s="1084"/>
      <c r="L170" s="932"/>
    </row>
    <row r="171" spans="1:12" s="106" customFormat="1" ht="15.75" hidden="1" customHeight="1" outlineLevel="1">
      <c r="A171" s="932"/>
      <c r="B171" s="1087"/>
      <c r="C171" s="1096"/>
      <c r="D171" s="1092"/>
      <c r="E171" s="1092"/>
      <c r="F171" s="1094"/>
      <c r="G171" s="103"/>
      <c r="H171" s="101"/>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93"/>
      <c r="I172" s="1091"/>
      <c r="J172" s="1083"/>
      <c r="K172" s="1083"/>
      <c r="L172" s="932"/>
    </row>
    <row r="173" spans="1:12" s="106" customFormat="1" ht="15.75" hidden="1" customHeight="1" outlineLevel="1">
      <c r="A173" s="932"/>
      <c r="B173" s="1086"/>
      <c r="C173" s="1095"/>
      <c r="D173" s="1091"/>
      <c r="E173" s="1091"/>
      <c r="F173" s="1093"/>
      <c r="G173" s="98"/>
      <c r="H173" s="93"/>
      <c r="I173" s="1091"/>
      <c r="J173" s="1084"/>
      <c r="K173" s="1084"/>
      <c r="L173" s="932"/>
    </row>
    <row r="174" spans="1:12" s="106" customFormat="1" ht="15.75" hidden="1" customHeight="1" outlineLevel="1">
      <c r="A174" s="932"/>
      <c r="B174" s="1087"/>
      <c r="C174" s="1096"/>
      <c r="D174" s="1092"/>
      <c r="E174" s="1092"/>
      <c r="F174" s="1094"/>
      <c r="G174" s="103"/>
      <c r="H174" s="101"/>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93"/>
      <c r="I175" s="1091"/>
      <c r="J175" s="1083"/>
      <c r="K175" s="1083"/>
      <c r="L175" s="932"/>
    </row>
    <row r="176" spans="1:12" s="106" customFormat="1" ht="15.75" hidden="1" customHeight="1" outlineLevel="1">
      <c r="A176" s="932"/>
      <c r="B176" s="1086"/>
      <c r="C176" s="1095"/>
      <c r="D176" s="1091"/>
      <c r="E176" s="1091"/>
      <c r="F176" s="1093"/>
      <c r="G176" s="98"/>
      <c r="H176" s="93"/>
      <c r="I176" s="1091"/>
      <c r="J176" s="1084"/>
      <c r="K176" s="1084"/>
      <c r="L176" s="932"/>
    </row>
    <row r="177" spans="1:12" s="106" customFormat="1" ht="15.75" hidden="1" customHeight="1" outlineLevel="1">
      <c r="A177" s="932"/>
      <c r="B177" s="1087"/>
      <c r="C177" s="1096"/>
      <c r="D177" s="1092"/>
      <c r="E177" s="1092"/>
      <c r="F177" s="1094"/>
      <c r="G177" s="103"/>
      <c r="H177" s="101"/>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93"/>
      <c r="I178" s="1091"/>
      <c r="J178" s="1083"/>
      <c r="K178" s="1083"/>
      <c r="L178" s="932"/>
    </row>
    <row r="179" spans="1:12" s="106" customFormat="1" ht="15.75" hidden="1" customHeight="1" outlineLevel="1">
      <c r="A179" s="932"/>
      <c r="B179" s="1086"/>
      <c r="C179" s="1095"/>
      <c r="D179" s="1091"/>
      <c r="E179" s="1091"/>
      <c r="F179" s="1093"/>
      <c r="G179" s="98"/>
      <c r="H179" s="93"/>
      <c r="I179" s="1091"/>
      <c r="J179" s="1084"/>
      <c r="K179" s="1084"/>
      <c r="L179" s="932"/>
    </row>
    <row r="180" spans="1:12" s="106" customFormat="1" ht="15.75" hidden="1" customHeight="1" outlineLevel="1">
      <c r="A180" s="932"/>
      <c r="B180" s="1087"/>
      <c r="C180" s="1096"/>
      <c r="D180" s="1092"/>
      <c r="E180" s="1092"/>
      <c r="F180" s="1094"/>
      <c r="G180" s="103"/>
      <c r="H180" s="101"/>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93"/>
      <c r="I181" s="1091"/>
      <c r="J181" s="1083"/>
      <c r="K181" s="1083"/>
      <c r="L181" s="932"/>
    </row>
    <row r="182" spans="1:12" s="106" customFormat="1" ht="15.75" hidden="1" customHeight="1" outlineLevel="1">
      <c r="A182" s="932"/>
      <c r="B182" s="1086"/>
      <c r="C182" s="1095"/>
      <c r="D182" s="1091"/>
      <c r="E182" s="1091"/>
      <c r="F182" s="1093"/>
      <c r="G182" s="98"/>
      <c r="H182" s="93"/>
      <c r="I182" s="1091"/>
      <c r="J182" s="1084"/>
      <c r="K182" s="1084"/>
      <c r="L182" s="932"/>
    </row>
    <row r="183" spans="1:12" s="106" customFormat="1" ht="15.75" hidden="1" customHeight="1" outlineLevel="1">
      <c r="A183" s="932"/>
      <c r="B183" s="1087"/>
      <c r="C183" s="1096"/>
      <c r="D183" s="1092"/>
      <c r="E183" s="1092"/>
      <c r="F183" s="1094"/>
      <c r="G183" s="103"/>
      <c r="H183" s="101"/>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93"/>
      <c r="I184" s="1091"/>
      <c r="J184" s="1083"/>
      <c r="K184" s="1083"/>
      <c r="L184" s="932"/>
    </row>
    <row r="185" spans="1:12" s="106" customFormat="1" ht="15.75" hidden="1" customHeight="1" outlineLevel="1">
      <c r="A185" s="932"/>
      <c r="B185" s="1086"/>
      <c r="C185" s="1095"/>
      <c r="D185" s="1091"/>
      <c r="E185" s="1091"/>
      <c r="F185" s="1093"/>
      <c r="G185" s="98"/>
      <c r="H185" s="93"/>
      <c r="I185" s="1091"/>
      <c r="J185" s="1084"/>
      <c r="K185" s="1084"/>
      <c r="L185" s="932"/>
    </row>
    <row r="186" spans="1:12" s="106" customFormat="1" ht="15.75" hidden="1" customHeight="1" outlineLevel="1">
      <c r="A186" s="932"/>
      <c r="B186" s="1087"/>
      <c r="C186" s="1096"/>
      <c r="D186" s="1092"/>
      <c r="E186" s="1092"/>
      <c r="F186" s="1094"/>
      <c r="G186" s="103"/>
      <c r="H186" s="101"/>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93"/>
      <c r="I187" s="1091"/>
      <c r="J187" s="1083"/>
      <c r="K187" s="1083"/>
      <c r="L187" s="932"/>
    </row>
    <row r="188" spans="1:12" s="106" customFormat="1" ht="15.75" hidden="1" customHeight="1" outlineLevel="1">
      <c r="A188" s="932"/>
      <c r="B188" s="1086"/>
      <c r="C188" s="1095"/>
      <c r="D188" s="1091"/>
      <c r="E188" s="1091"/>
      <c r="F188" s="1093"/>
      <c r="G188" s="98"/>
      <c r="H188" s="93"/>
      <c r="I188" s="1091"/>
      <c r="J188" s="1084"/>
      <c r="K188" s="1084"/>
      <c r="L188" s="932"/>
    </row>
    <row r="189" spans="1:12" s="106" customFormat="1" ht="15.75" hidden="1" customHeight="1" outlineLevel="1">
      <c r="A189" s="932"/>
      <c r="B189" s="1087"/>
      <c r="C189" s="1096"/>
      <c r="D189" s="1092"/>
      <c r="E189" s="1092"/>
      <c r="F189" s="1094"/>
      <c r="G189" s="103"/>
      <c r="H189" s="101"/>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93"/>
      <c r="I190" s="1091"/>
      <c r="J190" s="1083"/>
      <c r="K190" s="1083"/>
      <c r="L190" s="932"/>
    </row>
    <row r="191" spans="1:12" s="106" customFormat="1" ht="15.75" hidden="1" customHeight="1" outlineLevel="1">
      <c r="A191" s="932"/>
      <c r="B191" s="1086"/>
      <c r="C191" s="1095"/>
      <c r="D191" s="1091"/>
      <c r="E191" s="1091"/>
      <c r="F191" s="1093"/>
      <c r="G191" s="98"/>
      <c r="H191" s="93"/>
      <c r="I191" s="1091"/>
      <c r="J191" s="1084"/>
      <c r="K191" s="1084"/>
      <c r="L191" s="932"/>
    </row>
    <row r="192" spans="1:12" s="106" customFormat="1" ht="15.75" hidden="1" customHeight="1" outlineLevel="1">
      <c r="A192" s="932"/>
      <c r="B192" s="1087"/>
      <c r="C192" s="1096"/>
      <c r="D192" s="1092"/>
      <c r="E192" s="1092"/>
      <c r="F192" s="1094"/>
      <c r="G192" s="103"/>
      <c r="H192" s="101"/>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93"/>
      <c r="I193" s="1091"/>
      <c r="J193" s="1083"/>
      <c r="K193" s="1083"/>
      <c r="L193" s="932"/>
    </row>
    <row r="194" spans="1:12" s="106" customFormat="1" ht="15.75" hidden="1" customHeight="1" outlineLevel="1">
      <c r="A194" s="932"/>
      <c r="B194" s="1086"/>
      <c r="C194" s="1095"/>
      <c r="D194" s="1091"/>
      <c r="E194" s="1091"/>
      <c r="F194" s="1093"/>
      <c r="G194" s="98"/>
      <c r="H194" s="93"/>
      <c r="I194" s="1091"/>
      <c r="J194" s="1084"/>
      <c r="K194" s="1084"/>
      <c r="L194" s="932"/>
    </row>
    <row r="195" spans="1:12" s="106" customFormat="1" ht="15.75" hidden="1" customHeight="1" outlineLevel="1">
      <c r="A195" s="932"/>
      <c r="B195" s="1087"/>
      <c r="C195" s="1096"/>
      <c r="D195" s="1092"/>
      <c r="E195" s="1092"/>
      <c r="F195" s="1094"/>
      <c r="G195" s="103"/>
      <c r="H195" s="101"/>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93"/>
      <c r="I196" s="1091"/>
      <c r="J196" s="1083"/>
      <c r="K196" s="1083"/>
      <c r="L196" s="932"/>
    </row>
    <row r="197" spans="1:12" s="106" customFormat="1" ht="15.75" hidden="1" customHeight="1" outlineLevel="1">
      <c r="A197" s="932"/>
      <c r="B197" s="1086"/>
      <c r="C197" s="1095"/>
      <c r="D197" s="1091"/>
      <c r="E197" s="1091"/>
      <c r="F197" s="1093"/>
      <c r="G197" s="98"/>
      <c r="H197" s="93"/>
      <c r="I197" s="1091"/>
      <c r="J197" s="1084"/>
      <c r="K197" s="1084"/>
      <c r="L197" s="932"/>
    </row>
    <row r="198" spans="1:12" s="106" customFormat="1" ht="15.75" hidden="1" customHeight="1" outlineLevel="1">
      <c r="A198" s="932"/>
      <c r="B198" s="1087"/>
      <c r="C198" s="1096"/>
      <c r="D198" s="1092"/>
      <c r="E198" s="1092"/>
      <c r="F198" s="1094"/>
      <c r="G198" s="103"/>
      <c r="H198" s="101"/>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93"/>
      <c r="I199" s="1091"/>
      <c r="J199" s="1083"/>
      <c r="K199" s="1083"/>
      <c r="L199" s="932"/>
    </row>
    <row r="200" spans="1:12" s="106" customFormat="1" ht="15.75" hidden="1" customHeight="1" outlineLevel="1">
      <c r="A200" s="932"/>
      <c r="B200" s="1086"/>
      <c r="C200" s="1095"/>
      <c r="D200" s="1091"/>
      <c r="E200" s="1091"/>
      <c r="F200" s="1093"/>
      <c r="G200" s="98"/>
      <c r="H200" s="93"/>
      <c r="I200" s="1091"/>
      <c r="J200" s="1084"/>
      <c r="K200" s="1084"/>
      <c r="L200" s="932"/>
    </row>
    <row r="201" spans="1:12" s="106" customFormat="1" ht="15.75" hidden="1" customHeight="1" outlineLevel="1">
      <c r="A201" s="932"/>
      <c r="B201" s="1087"/>
      <c r="C201" s="1096"/>
      <c r="D201" s="1092"/>
      <c r="E201" s="1092"/>
      <c r="F201" s="1094"/>
      <c r="G201" s="103"/>
      <c r="H201" s="101"/>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93"/>
      <c r="I202" s="1091"/>
      <c r="J202" s="1083"/>
      <c r="K202" s="1083"/>
      <c r="L202" s="932"/>
    </row>
    <row r="203" spans="1:12" s="106" customFormat="1" ht="15.75" hidden="1" customHeight="1" outlineLevel="1">
      <c r="A203" s="932"/>
      <c r="B203" s="1086"/>
      <c r="C203" s="1095"/>
      <c r="D203" s="1091"/>
      <c r="E203" s="1091"/>
      <c r="F203" s="1093"/>
      <c r="G203" s="98"/>
      <c r="H203" s="93"/>
      <c r="I203" s="1091"/>
      <c r="J203" s="1084"/>
      <c r="K203" s="1084"/>
      <c r="L203" s="932"/>
    </row>
    <row r="204" spans="1:12" s="106" customFormat="1" ht="15.75" hidden="1" customHeight="1" outlineLevel="1">
      <c r="A204" s="932"/>
      <c r="B204" s="1087"/>
      <c r="C204" s="1096"/>
      <c r="D204" s="1092"/>
      <c r="E204" s="1092"/>
      <c r="F204" s="1094"/>
      <c r="G204" s="103"/>
      <c r="H204" s="101"/>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93"/>
      <c r="I205" s="1091"/>
      <c r="J205" s="1083"/>
      <c r="K205" s="1083"/>
      <c r="L205" s="932"/>
    </row>
    <row r="206" spans="1:12" s="106" customFormat="1" ht="15.75" hidden="1" customHeight="1" outlineLevel="1">
      <c r="A206" s="932"/>
      <c r="B206" s="1086"/>
      <c r="C206" s="1095"/>
      <c r="D206" s="1091"/>
      <c r="E206" s="1091"/>
      <c r="F206" s="1093"/>
      <c r="G206" s="98"/>
      <c r="H206" s="93"/>
      <c r="I206" s="1091"/>
      <c r="J206" s="1084"/>
      <c r="K206" s="1084"/>
      <c r="L206" s="932"/>
    </row>
    <row r="207" spans="1:12" s="106" customFormat="1" ht="15.75" hidden="1" customHeight="1" outlineLevel="1">
      <c r="A207" s="932"/>
      <c r="B207" s="1087"/>
      <c r="C207" s="1096"/>
      <c r="D207" s="1092"/>
      <c r="E207" s="1092"/>
      <c r="F207" s="1094"/>
      <c r="G207" s="103"/>
      <c r="H207" s="101"/>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93"/>
      <c r="I208" s="1091"/>
      <c r="J208" s="1083"/>
      <c r="K208" s="1083"/>
      <c r="L208" s="932"/>
    </row>
    <row r="209" spans="1:12" s="106" customFormat="1" ht="15.75" hidden="1" customHeight="1" outlineLevel="1">
      <c r="A209" s="932"/>
      <c r="B209" s="1086"/>
      <c r="C209" s="1095"/>
      <c r="D209" s="1091"/>
      <c r="E209" s="1091"/>
      <c r="F209" s="1093"/>
      <c r="G209" s="98"/>
      <c r="H209" s="93"/>
      <c r="I209" s="1091"/>
      <c r="J209" s="1084"/>
      <c r="K209" s="1084"/>
      <c r="L209" s="932"/>
    </row>
    <row r="210" spans="1:12" s="106" customFormat="1" ht="15.75" hidden="1" customHeight="1" outlineLevel="1">
      <c r="A210" s="932"/>
      <c r="B210" s="1087"/>
      <c r="C210" s="1096"/>
      <c r="D210" s="1092"/>
      <c r="E210" s="1092"/>
      <c r="F210" s="1094"/>
      <c r="G210" s="103"/>
      <c r="H210" s="101"/>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93"/>
      <c r="I211" s="1091"/>
      <c r="J211" s="1083"/>
      <c r="K211" s="1083"/>
      <c r="L211" s="932"/>
    </row>
    <row r="212" spans="1:12" s="106" customFormat="1" ht="15.75" hidden="1" customHeight="1" outlineLevel="1">
      <c r="A212" s="932"/>
      <c r="B212" s="1086"/>
      <c r="C212" s="1095"/>
      <c r="D212" s="1091"/>
      <c r="E212" s="1091"/>
      <c r="F212" s="1093"/>
      <c r="G212" s="98"/>
      <c r="H212" s="93"/>
      <c r="I212" s="1091"/>
      <c r="J212" s="1084"/>
      <c r="K212" s="1084"/>
      <c r="L212" s="932"/>
    </row>
    <row r="213" spans="1:12" s="106" customFormat="1" ht="15.75" hidden="1" customHeight="1" outlineLevel="1">
      <c r="A213" s="932"/>
      <c r="B213" s="1087"/>
      <c r="C213" s="1096"/>
      <c r="D213" s="1092"/>
      <c r="E213" s="1092"/>
      <c r="F213" s="1094"/>
      <c r="G213" s="103"/>
      <c r="H213" s="101"/>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93"/>
      <c r="I214" s="1091"/>
      <c r="J214" s="1083"/>
      <c r="K214" s="1083"/>
      <c r="L214" s="932"/>
    </row>
    <row r="215" spans="1:12" s="106" customFormat="1" ht="15.75" hidden="1" customHeight="1" outlineLevel="1">
      <c r="A215" s="932"/>
      <c r="B215" s="1086"/>
      <c r="C215" s="1095"/>
      <c r="D215" s="1091"/>
      <c r="E215" s="1091"/>
      <c r="F215" s="1093"/>
      <c r="G215" s="98"/>
      <c r="H215" s="93"/>
      <c r="I215" s="1091"/>
      <c r="J215" s="1084"/>
      <c r="K215" s="1084"/>
      <c r="L215" s="932"/>
    </row>
    <row r="216" spans="1:12" s="106" customFormat="1" ht="15.75" hidden="1" customHeight="1" outlineLevel="1">
      <c r="A216" s="932"/>
      <c r="B216" s="1087"/>
      <c r="C216" s="1096"/>
      <c r="D216" s="1092"/>
      <c r="E216" s="1092"/>
      <c r="F216" s="1094"/>
      <c r="G216" s="103"/>
      <c r="H216" s="101"/>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93"/>
      <c r="I217" s="1091"/>
      <c r="J217" s="1083"/>
      <c r="K217" s="1083"/>
      <c r="L217" s="932"/>
    </row>
    <row r="218" spans="1:12" s="106" customFormat="1" ht="15.75" hidden="1" customHeight="1" outlineLevel="1">
      <c r="A218" s="932"/>
      <c r="B218" s="1086"/>
      <c r="C218" s="1095"/>
      <c r="D218" s="1091"/>
      <c r="E218" s="1091"/>
      <c r="F218" s="1093"/>
      <c r="G218" s="98"/>
      <c r="H218" s="93"/>
      <c r="I218" s="1091"/>
      <c r="J218" s="1084"/>
      <c r="K218" s="1084"/>
      <c r="L218" s="932"/>
    </row>
    <row r="219" spans="1:12" s="106" customFormat="1" ht="15.75" hidden="1" customHeight="1" outlineLevel="1">
      <c r="A219" s="932"/>
      <c r="B219" s="1087"/>
      <c r="C219" s="1096"/>
      <c r="D219" s="1092"/>
      <c r="E219" s="1092"/>
      <c r="F219" s="1094"/>
      <c r="G219" s="103"/>
      <c r="H219" s="101"/>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93"/>
      <c r="I220" s="1091"/>
      <c r="J220" s="1083"/>
      <c r="K220" s="1083"/>
      <c r="L220" s="932"/>
    </row>
    <row r="221" spans="1:12" s="106" customFormat="1" ht="15.75" hidden="1" customHeight="1" outlineLevel="1">
      <c r="A221" s="932"/>
      <c r="B221" s="1086"/>
      <c r="C221" s="1095"/>
      <c r="D221" s="1091"/>
      <c r="E221" s="1091"/>
      <c r="F221" s="1093"/>
      <c r="G221" s="98"/>
      <c r="H221" s="93"/>
      <c r="I221" s="1091"/>
      <c r="J221" s="1084"/>
      <c r="K221" s="1084"/>
      <c r="L221" s="932"/>
    </row>
    <row r="222" spans="1:12" s="106" customFormat="1" ht="15.75" hidden="1" customHeight="1" outlineLevel="1">
      <c r="A222" s="932"/>
      <c r="B222" s="1087"/>
      <c r="C222" s="1096"/>
      <c r="D222" s="1092"/>
      <c r="E222" s="1092"/>
      <c r="F222" s="1094"/>
      <c r="G222" s="103"/>
      <c r="H222" s="101"/>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93"/>
      <c r="I223" s="1091"/>
      <c r="J223" s="1083"/>
      <c r="K223" s="1083"/>
      <c r="L223" s="932"/>
    </row>
    <row r="224" spans="1:12" s="106" customFormat="1" ht="15.75" hidden="1" customHeight="1" outlineLevel="1">
      <c r="A224" s="932"/>
      <c r="B224" s="1086"/>
      <c r="C224" s="1095"/>
      <c r="D224" s="1091"/>
      <c r="E224" s="1091"/>
      <c r="F224" s="1093"/>
      <c r="G224" s="98"/>
      <c r="H224" s="93"/>
      <c r="I224" s="1091"/>
      <c r="J224" s="1084"/>
      <c r="K224" s="1084"/>
      <c r="L224" s="932"/>
    </row>
    <row r="225" spans="1:12" s="106" customFormat="1" ht="15.75" hidden="1" customHeight="1" outlineLevel="1">
      <c r="A225" s="932"/>
      <c r="B225" s="1087"/>
      <c r="C225" s="1096"/>
      <c r="D225" s="1092"/>
      <c r="E225" s="1092"/>
      <c r="F225" s="1094"/>
      <c r="G225" s="103"/>
      <c r="H225" s="101"/>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93"/>
      <c r="I226" s="1091"/>
      <c r="J226" s="1083"/>
      <c r="K226" s="1083"/>
      <c r="L226" s="932"/>
    </row>
    <row r="227" spans="1:12" s="106" customFormat="1" ht="15.75" hidden="1" customHeight="1" outlineLevel="1">
      <c r="A227" s="932"/>
      <c r="B227" s="1086"/>
      <c r="C227" s="1095"/>
      <c r="D227" s="1091"/>
      <c r="E227" s="1091"/>
      <c r="F227" s="1093"/>
      <c r="G227" s="98"/>
      <c r="H227" s="93"/>
      <c r="I227" s="1091"/>
      <c r="J227" s="1084"/>
      <c r="K227" s="1084"/>
      <c r="L227" s="932"/>
    </row>
    <row r="228" spans="1:12" s="106" customFormat="1" ht="15.75" hidden="1" customHeight="1" outlineLevel="1">
      <c r="A228" s="932"/>
      <c r="B228" s="1087"/>
      <c r="C228" s="1096"/>
      <c r="D228" s="1092"/>
      <c r="E228" s="1092"/>
      <c r="F228" s="1094"/>
      <c r="G228" s="103"/>
      <c r="H228" s="101"/>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93"/>
      <c r="I229" s="1091"/>
      <c r="J229" s="1083"/>
      <c r="K229" s="1083"/>
      <c r="L229" s="932"/>
    </row>
    <row r="230" spans="1:12" s="106" customFormat="1" ht="15.75" hidden="1" customHeight="1" outlineLevel="1">
      <c r="A230" s="932"/>
      <c r="B230" s="1086"/>
      <c r="C230" s="1095"/>
      <c r="D230" s="1091"/>
      <c r="E230" s="1091"/>
      <c r="F230" s="1093"/>
      <c r="G230" s="98"/>
      <c r="H230" s="93"/>
      <c r="I230" s="1091"/>
      <c r="J230" s="1084"/>
      <c r="K230" s="1084"/>
      <c r="L230" s="932"/>
    </row>
    <row r="231" spans="1:12" s="106" customFormat="1" ht="15.75" hidden="1" customHeight="1" outlineLevel="1">
      <c r="A231" s="932"/>
      <c r="B231" s="1087"/>
      <c r="C231" s="1096"/>
      <c r="D231" s="1092"/>
      <c r="E231" s="1092"/>
      <c r="F231" s="1094"/>
      <c r="G231" s="103"/>
      <c r="H231" s="101"/>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93"/>
      <c r="I232" s="1091"/>
      <c r="J232" s="1083"/>
      <c r="K232" s="1083"/>
      <c r="L232" s="932"/>
    </row>
    <row r="233" spans="1:12" s="106" customFormat="1" ht="15.75" hidden="1" customHeight="1" outlineLevel="1">
      <c r="A233" s="932"/>
      <c r="B233" s="1086"/>
      <c r="C233" s="1095"/>
      <c r="D233" s="1091"/>
      <c r="E233" s="1091"/>
      <c r="F233" s="1093"/>
      <c r="G233" s="98"/>
      <c r="H233" s="93"/>
      <c r="I233" s="1091"/>
      <c r="J233" s="1084"/>
      <c r="K233" s="1084"/>
      <c r="L233" s="932"/>
    </row>
    <row r="234" spans="1:12" s="106" customFormat="1" ht="15.75" hidden="1" customHeight="1" outlineLevel="1">
      <c r="A234" s="932"/>
      <c r="B234" s="1087"/>
      <c r="C234" s="1096"/>
      <c r="D234" s="1092"/>
      <c r="E234" s="1092"/>
      <c r="F234" s="1094"/>
      <c r="G234" s="103"/>
      <c r="H234" s="101"/>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93"/>
      <c r="I235" s="1091"/>
      <c r="J235" s="1083"/>
      <c r="K235" s="1083"/>
      <c r="L235" s="932"/>
    </row>
    <row r="236" spans="1:12" s="106" customFormat="1" ht="15.75" hidden="1" customHeight="1" outlineLevel="1">
      <c r="A236" s="932"/>
      <c r="B236" s="1086"/>
      <c r="C236" s="1095"/>
      <c r="D236" s="1091"/>
      <c r="E236" s="1091"/>
      <c r="F236" s="1093"/>
      <c r="G236" s="98"/>
      <c r="H236" s="93"/>
      <c r="I236" s="1091"/>
      <c r="J236" s="1084"/>
      <c r="K236" s="1084"/>
      <c r="L236" s="932"/>
    </row>
    <row r="237" spans="1:12" s="106" customFormat="1" ht="15.75" hidden="1" customHeight="1" outlineLevel="1">
      <c r="A237" s="932"/>
      <c r="B237" s="1087"/>
      <c r="C237" s="1096"/>
      <c r="D237" s="1092"/>
      <c r="E237" s="1092"/>
      <c r="F237" s="1094"/>
      <c r="G237" s="103"/>
      <c r="H237" s="101"/>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93"/>
      <c r="I238" s="1091"/>
      <c r="J238" s="1083"/>
      <c r="K238" s="1083"/>
      <c r="L238" s="932"/>
    </row>
    <row r="239" spans="1:12" s="106" customFormat="1" ht="15.75" hidden="1" customHeight="1" outlineLevel="1">
      <c r="A239" s="932"/>
      <c r="B239" s="1086"/>
      <c r="C239" s="1095"/>
      <c r="D239" s="1091"/>
      <c r="E239" s="1091"/>
      <c r="F239" s="1093"/>
      <c r="G239" s="98"/>
      <c r="H239" s="93"/>
      <c r="I239" s="1091"/>
      <c r="J239" s="1084"/>
      <c r="K239" s="1084"/>
      <c r="L239" s="932"/>
    </row>
    <row r="240" spans="1:12" s="106" customFormat="1" ht="15.75" hidden="1" customHeight="1" outlineLevel="1">
      <c r="A240" s="932"/>
      <c r="B240" s="1087"/>
      <c r="C240" s="1096"/>
      <c r="D240" s="1092"/>
      <c r="E240" s="1092"/>
      <c r="F240" s="1094"/>
      <c r="G240" s="103"/>
      <c r="H240" s="101"/>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93"/>
      <c r="I241" s="1091"/>
      <c r="J241" s="1083"/>
      <c r="K241" s="1083"/>
      <c r="L241" s="932"/>
    </row>
    <row r="242" spans="1:12" s="106" customFormat="1" ht="15.75" hidden="1" customHeight="1" outlineLevel="1">
      <c r="A242" s="932"/>
      <c r="B242" s="1086"/>
      <c r="C242" s="1095"/>
      <c r="D242" s="1091"/>
      <c r="E242" s="1091"/>
      <c r="F242" s="1093"/>
      <c r="G242" s="98"/>
      <c r="H242" s="93"/>
      <c r="I242" s="1091"/>
      <c r="J242" s="1084"/>
      <c r="K242" s="1084"/>
      <c r="L242" s="932"/>
    </row>
    <row r="243" spans="1:12" s="106" customFormat="1" ht="15.75" hidden="1" customHeight="1" outlineLevel="1">
      <c r="A243" s="932"/>
      <c r="B243" s="1087"/>
      <c r="C243" s="1096"/>
      <c r="D243" s="1092"/>
      <c r="E243" s="1092"/>
      <c r="F243" s="1094"/>
      <c r="G243" s="103"/>
      <c r="H243" s="101"/>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93"/>
      <c r="I244" s="1091"/>
      <c r="J244" s="1083"/>
      <c r="K244" s="1083"/>
      <c r="L244" s="932"/>
    </row>
    <row r="245" spans="1:12" s="106" customFormat="1" ht="15.75" hidden="1" customHeight="1" outlineLevel="1">
      <c r="A245" s="932"/>
      <c r="B245" s="1086"/>
      <c r="C245" s="1095"/>
      <c r="D245" s="1091"/>
      <c r="E245" s="1091"/>
      <c r="F245" s="1093"/>
      <c r="G245" s="98"/>
      <c r="H245" s="93"/>
      <c r="I245" s="1091"/>
      <c r="J245" s="1084"/>
      <c r="K245" s="1084"/>
      <c r="L245" s="932"/>
    </row>
    <row r="246" spans="1:12" s="106" customFormat="1" ht="15.75" hidden="1" customHeight="1" outlineLevel="1">
      <c r="A246" s="932"/>
      <c r="B246" s="1087"/>
      <c r="C246" s="1096"/>
      <c r="D246" s="1092"/>
      <c r="E246" s="1092"/>
      <c r="F246" s="1094"/>
      <c r="G246" s="103"/>
      <c r="H246" s="101"/>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93"/>
      <c r="I247" s="1091"/>
      <c r="J247" s="1083"/>
      <c r="K247" s="1083"/>
      <c r="L247" s="932"/>
    </row>
    <row r="248" spans="1:12" s="106" customFormat="1" ht="15.75" hidden="1" customHeight="1" outlineLevel="1">
      <c r="A248" s="932"/>
      <c r="B248" s="1086"/>
      <c r="C248" s="1095"/>
      <c r="D248" s="1091"/>
      <c r="E248" s="1091"/>
      <c r="F248" s="1093"/>
      <c r="G248" s="98"/>
      <c r="H248" s="93"/>
      <c r="I248" s="1091"/>
      <c r="J248" s="1084"/>
      <c r="K248" s="1084"/>
      <c r="L248" s="932"/>
    </row>
    <row r="249" spans="1:12" s="106" customFormat="1" ht="15.75" hidden="1" customHeight="1" outlineLevel="1">
      <c r="A249" s="932"/>
      <c r="B249" s="1087"/>
      <c r="C249" s="1096"/>
      <c r="D249" s="1092"/>
      <c r="E249" s="1092"/>
      <c r="F249" s="1094"/>
      <c r="G249" s="103"/>
      <c r="H249" s="101"/>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93"/>
      <c r="I250" s="1091"/>
      <c r="J250" s="1083"/>
      <c r="K250" s="1083"/>
      <c r="L250" s="932"/>
    </row>
    <row r="251" spans="1:12" s="106" customFormat="1" ht="15.75" hidden="1" customHeight="1" outlineLevel="1">
      <c r="A251" s="932"/>
      <c r="B251" s="1086"/>
      <c r="C251" s="1095"/>
      <c r="D251" s="1091"/>
      <c r="E251" s="1091"/>
      <c r="F251" s="1093"/>
      <c r="G251" s="98"/>
      <c r="H251" s="93"/>
      <c r="I251" s="1091"/>
      <c r="J251" s="1084"/>
      <c r="K251" s="1084"/>
      <c r="L251" s="932"/>
    </row>
    <row r="252" spans="1:12" s="106" customFormat="1" ht="15.75" hidden="1" customHeight="1" outlineLevel="1">
      <c r="A252" s="932"/>
      <c r="B252" s="1087"/>
      <c r="C252" s="1096"/>
      <c r="D252" s="1092"/>
      <c r="E252" s="1092"/>
      <c r="F252" s="1094"/>
      <c r="G252" s="103"/>
      <c r="H252" s="101"/>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93"/>
      <c r="I253" s="1091"/>
      <c r="J253" s="1083"/>
      <c r="K253" s="1083"/>
      <c r="L253" s="932"/>
    </row>
    <row r="254" spans="1:12" s="106" customFormat="1" ht="15.75" hidden="1" customHeight="1" outlineLevel="1">
      <c r="A254" s="932"/>
      <c r="B254" s="1086"/>
      <c r="C254" s="1095"/>
      <c r="D254" s="1091"/>
      <c r="E254" s="1091"/>
      <c r="F254" s="1093"/>
      <c r="G254" s="98"/>
      <c r="H254" s="93"/>
      <c r="I254" s="1091"/>
      <c r="J254" s="1084"/>
      <c r="K254" s="1084"/>
      <c r="L254" s="932"/>
    </row>
    <row r="255" spans="1:12" s="106" customFormat="1" ht="15.75" hidden="1" customHeight="1" outlineLevel="1">
      <c r="A255" s="932"/>
      <c r="B255" s="1087"/>
      <c r="C255" s="1096"/>
      <c r="D255" s="1092"/>
      <c r="E255" s="1092"/>
      <c r="F255" s="1094"/>
      <c r="G255" s="103"/>
      <c r="H255" s="101"/>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93"/>
      <c r="I256" s="1091"/>
      <c r="J256" s="1083"/>
      <c r="K256" s="1083"/>
      <c r="L256" s="932"/>
    </row>
    <row r="257" spans="1:12" s="106" customFormat="1" ht="15.75" hidden="1" customHeight="1" outlineLevel="1">
      <c r="A257" s="932"/>
      <c r="B257" s="1086"/>
      <c r="C257" s="1095"/>
      <c r="D257" s="1091"/>
      <c r="E257" s="1091"/>
      <c r="F257" s="1093"/>
      <c r="G257" s="98"/>
      <c r="H257" s="93"/>
      <c r="I257" s="1091"/>
      <c r="J257" s="1084"/>
      <c r="K257" s="1084"/>
      <c r="L257" s="932"/>
    </row>
    <row r="258" spans="1:12" s="106" customFormat="1" ht="15.75" hidden="1" customHeight="1" outlineLevel="1">
      <c r="A258" s="932"/>
      <c r="B258" s="1087"/>
      <c r="C258" s="1096"/>
      <c r="D258" s="1092"/>
      <c r="E258" s="1092"/>
      <c r="F258" s="1094"/>
      <c r="G258" s="103"/>
      <c r="H258" s="101"/>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93"/>
      <c r="I259" s="1091"/>
      <c r="J259" s="1083"/>
      <c r="K259" s="1083"/>
      <c r="L259" s="932"/>
    </row>
    <row r="260" spans="1:12" s="106" customFormat="1" ht="15.75" hidden="1" customHeight="1" outlineLevel="1">
      <c r="A260" s="932"/>
      <c r="B260" s="1086"/>
      <c r="C260" s="1095"/>
      <c r="D260" s="1091"/>
      <c r="E260" s="1091"/>
      <c r="F260" s="1093"/>
      <c r="G260" s="98"/>
      <c r="H260" s="93"/>
      <c r="I260" s="1091"/>
      <c r="J260" s="1084"/>
      <c r="K260" s="1084"/>
      <c r="L260" s="932"/>
    </row>
    <row r="261" spans="1:12" s="106" customFormat="1" ht="15.75" hidden="1" customHeight="1" outlineLevel="1">
      <c r="A261" s="932"/>
      <c r="B261" s="1087"/>
      <c r="C261" s="1096"/>
      <c r="D261" s="1092"/>
      <c r="E261" s="1092"/>
      <c r="F261" s="1094"/>
      <c r="G261" s="103"/>
      <c r="H261" s="101"/>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93"/>
      <c r="I262" s="1091"/>
      <c r="J262" s="1083"/>
      <c r="K262" s="1083"/>
      <c r="L262" s="932"/>
    </row>
    <row r="263" spans="1:12" s="106" customFormat="1" ht="15.75" hidden="1" customHeight="1" outlineLevel="1">
      <c r="A263" s="932"/>
      <c r="B263" s="1086"/>
      <c r="C263" s="1095"/>
      <c r="D263" s="1091"/>
      <c r="E263" s="1091"/>
      <c r="F263" s="1093"/>
      <c r="G263" s="98"/>
      <c r="H263" s="93"/>
      <c r="I263" s="1091"/>
      <c r="J263" s="1084"/>
      <c r="K263" s="1084"/>
      <c r="L263" s="932"/>
    </row>
    <row r="264" spans="1:12" s="106" customFormat="1" ht="15.75" hidden="1" customHeight="1" outlineLevel="1">
      <c r="A264" s="932"/>
      <c r="B264" s="1087"/>
      <c r="C264" s="1096"/>
      <c r="D264" s="1092"/>
      <c r="E264" s="1092"/>
      <c r="F264" s="1094"/>
      <c r="G264" s="103"/>
      <c r="H264" s="101"/>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93"/>
      <c r="I265" s="1091"/>
      <c r="J265" s="1083"/>
      <c r="K265" s="1083"/>
      <c r="L265" s="932"/>
    </row>
    <row r="266" spans="1:12" s="106" customFormat="1" ht="15.75" hidden="1" customHeight="1" outlineLevel="1">
      <c r="A266" s="932"/>
      <c r="B266" s="1086"/>
      <c r="C266" s="1095"/>
      <c r="D266" s="1091"/>
      <c r="E266" s="1091"/>
      <c r="F266" s="1093"/>
      <c r="G266" s="98"/>
      <c r="H266" s="93"/>
      <c r="I266" s="1091"/>
      <c r="J266" s="1084"/>
      <c r="K266" s="1084"/>
      <c r="L266" s="932"/>
    </row>
    <row r="267" spans="1:12" s="106" customFormat="1" ht="15.75" hidden="1" customHeight="1" outlineLevel="1">
      <c r="A267" s="932"/>
      <c r="B267" s="1087"/>
      <c r="C267" s="1096"/>
      <c r="D267" s="1092"/>
      <c r="E267" s="1092"/>
      <c r="F267" s="1094"/>
      <c r="G267" s="103"/>
      <c r="H267" s="101"/>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93"/>
      <c r="I268" s="1091"/>
      <c r="J268" s="1083"/>
      <c r="K268" s="1083"/>
      <c r="L268" s="932"/>
    </row>
    <row r="269" spans="1:12" s="106" customFormat="1" ht="15.75" hidden="1" customHeight="1" outlineLevel="1">
      <c r="A269" s="932"/>
      <c r="B269" s="1086"/>
      <c r="C269" s="1095"/>
      <c r="D269" s="1091"/>
      <c r="E269" s="1091"/>
      <c r="F269" s="1093"/>
      <c r="G269" s="98"/>
      <c r="H269" s="93"/>
      <c r="I269" s="1091"/>
      <c r="J269" s="1084"/>
      <c r="K269" s="1084"/>
      <c r="L269" s="932"/>
    </row>
    <row r="270" spans="1:12" s="106" customFormat="1" ht="15.75" hidden="1" customHeight="1" outlineLevel="1">
      <c r="A270" s="932"/>
      <c r="B270" s="1087"/>
      <c r="C270" s="1096"/>
      <c r="D270" s="1092"/>
      <c r="E270" s="1092"/>
      <c r="F270" s="1094"/>
      <c r="G270" s="103"/>
      <c r="H270" s="101"/>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93"/>
      <c r="I271" s="1091"/>
      <c r="J271" s="1083"/>
      <c r="K271" s="1083"/>
      <c r="L271" s="932"/>
    </row>
    <row r="272" spans="1:12" s="106" customFormat="1" ht="15.75" hidden="1" customHeight="1" outlineLevel="1">
      <c r="A272" s="932"/>
      <c r="B272" s="1086"/>
      <c r="C272" s="1095"/>
      <c r="D272" s="1091"/>
      <c r="E272" s="1091"/>
      <c r="F272" s="1093"/>
      <c r="G272" s="98"/>
      <c r="H272" s="93"/>
      <c r="I272" s="1091"/>
      <c r="J272" s="1084"/>
      <c r="K272" s="1084"/>
      <c r="L272" s="932"/>
    </row>
    <row r="273" spans="1:12" s="106" customFormat="1" ht="15.75" hidden="1" customHeight="1" outlineLevel="1">
      <c r="A273" s="932"/>
      <c r="B273" s="1087"/>
      <c r="C273" s="1096"/>
      <c r="D273" s="1092"/>
      <c r="E273" s="1092"/>
      <c r="F273" s="1094"/>
      <c r="G273" s="103"/>
      <c r="H273" s="101"/>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93"/>
      <c r="I274" s="1091"/>
      <c r="J274" s="1083"/>
      <c r="K274" s="1083"/>
      <c r="L274" s="932"/>
    </row>
    <row r="275" spans="1:12" s="106" customFormat="1" ht="15.75" hidden="1" customHeight="1" outlineLevel="1">
      <c r="A275" s="932"/>
      <c r="B275" s="1086"/>
      <c r="C275" s="1095"/>
      <c r="D275" s="1091"/>
      <c r="E275" s="1091"/>
      <c r="F275" s="1093"/>
      <c r="G275" s="98"/>
      <c r="H275" s="93"/>
      <c r="I275" s="1091"/>
      <c r="J275" s="1084"/>
      <c r="K275" s="1084"/>
      <c r="L275" s="932"/>
    </row>
    <row r="276" spans="1:12" s="106" customFormat="1" ht="15.75" hidden="1" customHeight="1" outlineLevel="1">
      <c r="A276" s="932"/>
      <c r="B276" s="1087"/>
      <c r="C276" s="1096"/>
      <c r="D276" s="1092"/>
      <c r="E276" s="1092"/>
      <c r="F276" s="1094"/>
      <c r="G276" s="103"/>
      <c r="H276" s="101"/>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93"/>
      <c r="I277" s="1091"/>
      <c r="J277" s="1083"/>
      <c r="K277" s="1083"/>
      <c r="L277" s="932"/>
    </row>
    <row r="278" spans="1:12" s="106" customFormat="1" ht="15.75" hidden="1" customHeight="1" outlineLevel="1">
      <c r="A278" s="932"/>
      <c r="B278" s="1086"/>
      <c r="C278" s="1095"/>
      <c r="D278" s="1091"/>
      <c r="E278" s="1091"/>
      <c r="F278" s="1093"/>
      <c r="G278" s="98"/>
      <c r="H278" s="93"/>
      <c r="I278" s="1091"/>
      <c r="J278" s="1084"/>
      <c r="K278" s="1084"/>
      <c r="L278" s="932"/>
    </row>
    <row r="279" spans="1:12" s="106" customFormat="1" ht="15.75" hidden="1" customHeight="1" outlineLevel="1">
      <c r="A279" s="932"/>
      <c r="B279" s="1087"/>
      <c r="C279" s="1096"/>
      <c r="D279" s="1092"/>
      <c r="E279" s="1092"/>
      <c r="F279" s="1094"/>
      <c r="G279" s="103"/>
      <c r="H279" s="101"/>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93"/>
      <c r="I280" s="1091"/>
      <c r="J280" s="1083"/>
      <c r="K280" s="1083"/>
      <c r="L280" s="932"/>
    </row>
    <row r="281" spans="1:12" s="106" customFormat="1" ht="15.75" hidden="1" customHeight="1" outlineLevel="1">
      <c r="A281" s="932"/>
      <c r="B281" s="1086"/>
      <c r="C281" s="1095"/>
      <c r="D281" s="1091"/>
      <c r="E281" s="1091"/>
      <c r="F281" s="1093"/>
      <c r="G281" s="98"/>
      <c r="H281" s="93"/>
      <c r="I281" s="1091"/>
      <c r="J281" s="1084"/>
      <c r="K281" s="1084"/>
      <c r="L281" s="932"/>
    </row>
    <row r="282" spans="1:12" s="106" customFormat="1" ht="15.75" hidden="1" customHeight="1" outlineLevel="1">
      <c r="A282" s="932"/>
      <c r="B282" s="1087"/>
      <c r="C282" s="1096"/>
      <c r="D282" s="1092"/>
      <c r="E282" s="1092"/>
      <c r="F282" s="1094"/>
      <c r="G282" s="103"/>
      <c r="H282" s="101"/>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93"/>
      <c r="I283" s="1091"/>
      <c r="J283" s="1083"/>
      <c r="K283" s="1083"/>
      <c r="L283" s="932"/>
    </row>
    <row r="284" spans="1:12" s="106" customFormat="1" ht="15.75" hidden="1" customHeight="1" outlineLevel="1">
      <c r="A284" s="932"/>
      <c r="B284" s="1086"/>
      <c r="C284" s="1095"/>
      <c r="D284" s="1091"/>
      <c r="E284" s="1091"/>
      <c r="F284" s="1093"/>
      <c r="G284" s="98"/>
      <c r="H284" s="93"/>
      <c r="I284" s="1091"/>
      <c r="J284" s="1084"/>
      <c r="K284" s="1084"/>
      <c r="L284" s="932"/>
    </row>
    <row r="285" spans="1:12" s="106" customFormat="1" ht="15.75" hidden="1" customHeight="1" outlineLevel="1">
      <c r="A285" s="932"/>
      <c r="B285" s="1087"/>
      <c r="C285" s="1096"/>
      <c r="D285" s="1092"/>
      <c r="E285" s="1092"/>
      <c r="F285" s="1094"/>
      <c r="G285" s="103"/>
      <c r="H285" s="101"/>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93"/>
      <c r="I286" s="1091"/>
      <c r="J286" s="1083"/>
      <c r="K286" s="1083"/>
      <c r="L286" s="932"/>
    </row>
    <row r="287" spans="1:12" s="106" customFormat="1" ht="15.75" hidden="1" customHeight="1" outlineLevel="1">
      <c r="A287" s="932"/>
      <c r="B287" s="1086"/>
      <c r="C287" s="1095"/>
      <c r="D287" s="1091"/>
      <c r="E287" s="1091"/>
      <c r="F287" s="1093"/>
      <c r="G287" s="98"/>
      <c r="H287" s="93"/>
      <c r="I287" s="1091"/>
      <c r="J287" s="1084"/>
      <c r="K287" s="1084"/>
      <c r="L287" s="932"/>
    </row>
    <row r="288" spans="1:12" s="106" customFormat="1" ht="15.75" hidden="1" customHeight="1" outlineLevel="1">
      <c r="A288" s="932"/>
      <c r="B288" s="1087"/>
      <c r="C288" s="1096"/>
      <c r="D288" s="1092"/>
      <c r="E288" s="1092"/>
      <c r="F288" s="1094"/>
      <c r="G288" s="103"/>
      <c r="H288" s="101"/>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93"/>
      <c r="I289" s="1091"/>
      <c r="J289" s="1083"/>
      <c r="K289" s="1083"/>
      <c r="L289" s="932"/>
    </row>
    <row r="290" spans="1:12" s="106" customFormat="1" ht="15.75" hidden="1" customHeight="1" outlineLevel="1">
      <c r="A290" s="932"/>
      <c r="B290" s="1086"/>
      <c r="C290" s="1095"/>
      <c r="D290" s="1091"/>
      <c r="E290" s="1091"/>
      <c r="F290" s="1093"/>
      <c r="G290" s="98"/>
      <c r="H290" s="93"/>
      <c r="I290" s="1091"/>
      <c r="J290" s="1084"/>
      <c r="K290" s="1084"/>
      <c r="L290" s="932"/>
    </row>
    <row r="291" spans="1:12" s="106" customFormat="1" ht="15.75" hidden="1" customHeight="1" outlineLevel="1">
      <c r="A291" s="932"/>
      <c r="B291" s="1087"/>
      <c r="C291" s="1096"/>
      <c r="D291" s="1092"/>
      <c r="E291" s="1092"/>
      <c r="F291" s="1094"/>
      <c r="G291" s="103"/>
      <c r="H291" s="101"/>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93"/>
      <c r="I292" s="1091"/>
      <c r="J292" s="1083"/>
      <c r="K292" s="1083"/>
      <c r="L292" s="932"/>
    </row>
    <row r="293" spans="1:12" s="106" customFormat="1" ht="15.75" hidden="1" customHeight="1" outlineLevel="1">
      <c r="A293" s="932"/>
      <c r="B293" s="1086"/>
      <c r="C293" s="1095"/>
      <c r="D293" s="1091"/>
      <c r="E293" s="1091"/>
      <c r="F293" s="1093"/>
      <c r="G293" s="98"/>
      <c r="H293" s="93"/>
      <c r="I293" s="1091"/>
      <c r="J293" s="1084"/>
      <c r="K293" s="1084"/>
      <c r="L293" s="932"/>
    </row>
    <row r="294" spans="1:12" s="106" customFormat="1" ht="15.75" hidden="1" customHeight="1" outlineLevel="1">
      <c r="A294" s="932"/>
      <c r="B294" s="1087"/>
      <c r="C294" s="1096"/>
      <c r="D294" s="1092"/>
      <c r="E294" s="1092"/>
      <c r="F294" s="1094"/>
      <c r="G294" s="103"/>
      <c r="H294" s="101"/>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93"/>
      <c r="I295" s="1091"/>
      <c r="J295" s="1083"/>
      <c r="K295" s="1083"/>
      <c r="L295" s="932"/>
    </row>
    <row r="296" spans="1:12" s="106" customFormat="1" ht="15.75" hidden="1" customHeight="1" outlineLevel="1">
      <c r="A296" s="932"/>
      <c r="B296" s="1086"/>
      <c r="C296" s="1095"/>
      <c r="D296" s="1091"/>
      <c r="E296" s="1091"/>
      <c r="F296" s="1093"/>
      <c r="G296" s="98"/>
      <c r="H296" s="93"/>
      <c r="I296" s="1091"/>
      <c r="J296" s="1084"/>
      <c r="K296" s="1084"/>
      <c r="L296" s="932"/>
    </row>
    <row r="297" spans="1:12" s="106" customFormat="1" ht="15.75" hidden="1" customHeight="1" outlineLevel="1">
      <c r="A297" s="932"/>
      <c r="B297" s="1087"/>
      <c r="C297" s="1096"/>
      <c r="D297" s="1092"/>
      <c r="E297" s="1092"/>
      <c r="F297" s="1094"/>
      <c r="G297" s="103"/>
      <c r="H297" s="101"/>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93"/>
      <c r="I298" s="1091"/>
      <c r="J298" s="1083"/>
      <c r="K298" s="1083"/>
      <c r="L298" s="932"/>
    </row>
    <row r="299" spans="1:12" s="106" customFormat="1" ht="15.75" hidden="1" customHeight="1" outlineLevel="1">
      <c r="A299" s="932"/>
      <c r="B299" s="1086"/>
      <c r="C299" s="1095"/>
      <c r="D299" s="1091"/>
      <c r="E299" s="1091"/>
      <c r="F299" s="1093"/>
      <c r="G299" s="98"/>
      <c r="H299" s="93"/>
      <c r="I299" s="1091"/>
      <c r="J299" s="1084"/>
      <c r="K299" s="1084"/>
      <c r="L299" s="932"/>
    </row>
    <row r="300" spans="1:12" s="106" customFormat="1" ht="15.75" hidden="1" customHeight="1" outlineLevel="1">
      <c r="A300" s="932"/>
      <c r="B300" s="1087"/>
      <c r="C300" s="1096"/>
      <c r="D300" s="1092"/>
      <c r="E300" s="1092"/>
      <c r="F300" s="1094"/>
      <c r="G300" s="103"/>
      <c r="H300" s="101"/>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93"/>
      <c r="I301" s="1091"/>
      <c r="J301" s="1083"/>
      <c r="K301" s="1083"/>
      <c r="L301" s="932"/>
    </row>
    <row r="302" spans="1:12" s="106" customFormat="1" ht="15.75" hidden="1" customHeight="1" outlineLevel="1">
      <c r="A302" s="932"/>
      <c r="B302" s="1086"/>
      <c r="C302" s="1095"/>
      <c r="D302" s="1091"/>
      <c r="E302" s="1091"/>
      <c r="F302" s="1093"/>
      <c r="G302" s="98"/>
      <c r="H302" s="93"/>
      <c r="I302" s="1091"/>
      <c r="J302" s="1084"/>
      <c r="K302" s="1084"/>
      <c r="L302" s="932"/>
    </row>
    <row r="303" spans="1:12" s="106" customFormat="1" ht="15.75" hidden="1" customHeight="1" outlineLevel="1">
      <c r="A303" s="932"/>
      <c r="B303" s="1087"/>
      <c r="C303" s="1096"/>
      <c r="D303" s="1092"/>
      <c r="E303" s="1092"/>
      <c r="F303" s="1094"/>
      <c r="G303" s="103"/>
      <c r="H303" s="101"/>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93"/>
      <c r="I304" s="1091"/>
      <c r="J304" s="1083"/>
      <c r="K304" s="1083"/>
      <c r="L304" s="932"/>
    </row>
    <row r="305" spans="1:12" s="106" customFormat="1" ht="15.75" hidden="1" customHeight="1" outlineLevel="1">
      <c r="A305" s="932"/>
      <c r="B305" s="1086"/>
      <c r="C305" s="1095"/>
      <c r="D305" s="1091"/>
      <c r="E305" s="1091"/>
      <c r="F305" s="1093"/>
      <c r="G305" s="98"/>
      <c r="H305" s="93"/>
      <c r="I305" s="1091"/>
      <c r="J305" s="1084"/>
      <c r="K305" s="1084"/>
      <c r="L305" s="932"/>
    </row>
    <row r="306" spans="1:12" s="106" customFormat="1" ht="15.75" hidden="1" customHeight="1" outlineLevel="1">
      <c r="A306" s="932"/>
      <c r="B306" s="1087"/>
      <c r="C306" s="1096"/>
      <c r="D306" s="1092"/>
      <c r="E306" s="1092"/>
      <c r="F306" s="1094"/>
      <c r="G306" s="103"/>
      <c r="H306" s="101"/>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93"/>
      <c r="I307" s="1091"/>
      <c r="J307" s="1083"/>
      <c r="K307" s="1083"/>
      <c r="L307" s="932"/>
    </row>
    <row r="308" spans="1:12" s="106" customFormat="1" ht="15.75" hidden="1" customHeight="1" outlineLevel="1">
      <c r="A308" s="932"/>
      <c r="B308" s="1086"/>
      <c r="C308" s="1095"/>
      <c r="D308" s="1091"/>
      <c r="E308" s="1091"/>
      <c r="F308" s="1093"/>
      <c r="G308" s="98"/>
      <c r="H308" s="93"/>
      <c r="I308" s="1091"/>
      <c r="J308" s="1084"/>
      <c r="K308" s="1084"/>
      <c r="L308" s="932"/>
    </row>
    <row r="309" spans="1:12" s="106" customFormat="1" ht="15.75" hidden="1" customHeight="1" outlineLevel="1">
      <c r="A309" s="932"/>
      <c r="B309" s="1087"/>
      <c r="C309" s="1096"/>
      <c r="D309" s="1092"/>
      <c r="E309" s="1092"/>
      <c r="F309" s="1094"/>
      <c r="G309" s="103"/>
      <c r="H309" s="101"/>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93"/>
      <c r="I310" s="1091"/>
      <c r="J310" s="1083"/>
      <c r="K310" s="1083"/>
      <c r="L310" s="932"/>
    </row>
    <row r="311" spans="1:12" s="106" customFormat="1" ht="15.75" hidden="1" customHeight="1" outlineLevel="1">
      <c r="A311" s="932"/>
      <c r="B311" s="1086"/>
      <c r="C311" s="1095"/>
      <c r="D311" s="1091"/>
      <c r="E311" s="1091"/>
      <c r="F311" s="1093"/>
      <c r="G311" s="98"/>
      <c r="H311" s="93"/>
      <c r="I311" s="1091"/>
      <c r="J311" s="1084"/>
      <c r="K311" s="1084"/>
      <c r="L311" s="932"/>
    </row>
    <row r="312" spans="1:12" s="106" customFormat="1" ht="15.75" hidden="1" customHeight="1" outlineLevel="1">
      <c r="A312" s="932"/>
      <c r="B312" s="1087"/>
      <c r="C312" s="1096"/>
      <c r="D312" s="1092"/>
      <c r="E312" s="1092"/>
      <c r="F312" s="1094"/>
      <c r="G312" s="103"/>
      <c r="H312" s="101"/>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93"/>
      <c r="I313" s="1091"/>
      <c r="J313" s="1083"/>
      <c r="K313" s="1083"/>
      <c r="L313" s="932"/>
    </row>
    <row r="314" spans="1:12" s="106" customFormat="1" ht="15.75" hidden="1" customHeight="1" outlineLevel="1">
      <c r="A314" s="932"/>
      <c r="B314" s="1086"/>
      <c r="C314" s="1095"/>
      <c r="D314" s="1091"/>
      <c r="E314" s="1091"/>
      <c r="F314" s="1093"/>
      <c r="G314" s="98"/>
      <c r="H314" s="93"/>
      <c r="I314" s="1091"/>
      <c r="J314" s="1084"/>
      <c r="K314" s="1084"/>
      <c r="L314" s="932"/>
    </row>
    <row r="315" spans="1:12" s="106" customFormat="1" ht="15.75" hidden="1" customHeight="1" outlineLevel="1">
      <c r="A315" s="932"/>
      <c r="B315" s="1087"/>
      <c r="C315" s="1096"/>
      <c r="D315" s="1092"/>
      <c r="E315" s="1092"/>
      <c r="F315" s="1094"/>
      <c r="G315" s="103"/>
      <c r="H315" s="101"/>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93"/>
      <c r="I316" s="1091"/>
      <c r="J316" s="1083"/>
      <c r="K316" s="1083"/>
      <c r="L316" s="932"/>
    </row>
    <row r="317" spans="1:12" s="106" customFormat="1" ht="15.75" hidden="1" customHeight="1" outlineLevel="1">
      <c r="A317" s="932"/>
      <c r="B317" s="1086"/>
      <c r="C317" s="1095"/>
      <c r="D317" s="1091"/>
      <c r="E317" s="1091"/>
      <c r="F317" s="1093"/>
      <c r="G317" s="98"/>
      <c r="H317" s="93"/>
      <c r="I317" s="1091"/>
      <c r="J317" s="1084"/>
      <c r="K317" s="1084"/>
      <c r="L317" s="932"/>
    </row>
    <row r="318" spans="1:12" s="106" customFormat="1" ht="15.75" hidden="1" customHeight="1" outlineLevel="1">
      <c r="A318" s="932"/>
      <c r="B318" s="1087"/>
      <c r="C318" s="1096"/>
      <c r="D318" s="1092"/>
      <c r="E318" s="1092"/>
      <c r="F318" s="1094"/>
      <c r="G318" s="103"/>
      <c r="H318" s="101"/>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93"/>
      <c r="I319" s="1091"/>
      <c r="J319" s="1083"/>
      <c r="K319" s="1083"/>
      <c r="L319" s="932"/>
    </row>
    <row r="320" spans="1:12" s="106" customFormat="1" ht="15.75" hidden="1" customHeight="1" outlineLevel="1">
      <c r="A320" s="932"/>
      <c r="B320" s="1086"/>
      <c r="C320" s="1095"/>
      <c r="D320" s="1091"/>
      <c r="E320" s="1091"/>
      <c r="F320" s="1093"/>
      <c r="G320" s="98"/>
      <c r="H320" s="93"/>
      <c r="I320" s="1091"/>
      <c r="J320" s="1084"/>
      <c r="K320" s="1084"/>
      <c r="L320" s="932"/>
    </row>
    <row r="321" spans="1:12" s="106" customFormat="1" ht="15.75" hidden="1" customHeight="1" outlineLevel="1">
      <c r="A321" s="932"/>
      <c r="B321" s="1087"/>
      <c r="C321" s="1096"/>
      <c r="D321" s="1092"/>
      <c r="E321" s="1092"/>
      <c r="F321" s="1094"/>
      <c r="G321" s="103"/>
      <c r="H321" s="101"/>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93"/>
      <c r="I322" s="1091"/>
      <c r="J322" s="1083"/>
      <c r="K322" s="1083"/>
      <c r="L322" s="932"/>
    </row>
    <row r="323" spans="1:12" s="106" customFormat="1" ht="15.75" hidden="1" customHeight="1" outlineLevel="1">
      <c r="A323" s="932"/>
      <c r="B323" s="1086"/>
      <c r="C323" s="1095"/>
      <c r="D323" s="1091"/>
      <c r="E323" s="1091"/>
      <c r="F323" s="1093"/>
      <c r="G323" s="98"/>
      <c r="H323" s="93"/>
      <c r="I323" s="1091"/>
      <c r="J323" s="1084"/>
      <c r="K323" s="1084"/>
      <c r="L323" s="932"/>
    </row>
    <row r="324" spans="1:12" s="106" customFormat="1" ht="15.75" hidden="1" customHeight="1" outlineLevel="1">
      <c r="A324" s="932"/>
      <c r="B324" s="1087"/>
      <c r="C324" s="1096"/>
      <c r="D324" s="1092"/>
      <c r="E324" s="1092"/>
      <c r="F324" s="1094"/>
      <c r="G324" s="103"/>
      <c r="H324" s="101"/>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93"/>
      <c r="I325" s="1091"/>
      <c r="J325" s="1083"/>
      <c r="K325" s="1083"/>
      <c r="L325" s="932"/>
    </row>
    <row r="326" spans="1:12" s="106" customFormat="1" ht="15.75" hidden="1" customHeight="1" outlineLevel="1">
      <c r="A326" s="932"/>
      <c r="B326" s="1086"/>
      <c r="C326" s="1095"/>
      <c r="D326" s="1091"/>
      <c r="E326" s="1091"/>
      <c r="F326" s="1093"/>
      <c r="G326" s="98"/>
      <c r="H326" s="93"/>
      <c r="I326" s="1091"/>
      <c r="J326" s="1084"/>
      <c r="K326" s="1084"/>
      <c r="L326" s="932"/>
    </row>
    <row r="327" spans="1:12" s="106" customFormat="1" ht="15.75" hidden="1" customHeight="1" outlineLevel="1">
      <c r="A327" s="932"/>
      <c r="B327" s="1087"/>
      <c r="C327" s="1096"/>
      <c r="D327" s="1092"/>
      <c r="E327" s="1092"/>
      <c r="F327" s="1094"/>
      <c r="G327" s="103"/>
      <c r="H327" s="101"/>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93"/>
      <c r="I328" s="1091"/>
      <c r="J328" s="1083"/>
      <c r="K328" s="1083"/>
      <c r="L328" s="932"/>
    </row>
    <row r="329" spans="1:12" s="106" customFormat="1" ht="15.75" hidden="1" customHeight="1" outlineLevel="1">
      <c r="A329" s="932"/>
      <c r="B329" s="1086"/>
      <c r="C329" s="1095"/>
      <c r="D329" s="1091"/>
      <c r="E329" s="1091"/>
      <c r="F329" s="1093"/>
      <c r="G329" s="98"/>
      <c r="H329" s="93"/>
      <c r="I329" s="1091"/>
      <c r="J329" s="1084"/>
      <c r="K329" s="1084"/>
      <c r="L329" s="932"/>
    </row>
    <row r="330" spans="1:12" s="106" customFormat="1" ht="15.75" hidden="1" customHeight="1" outlineLevel="1">
      <c r="A330" s="932"/>
      <c r="B330" s="1087"/>
      <c r="C330" s="1096"/>
      <c r="D330" s="1092"/>
      <c r="E330" s="1092"/>
      <c r="F330" s="1094"/>
      <c r="G330" s="103"/>
      <c r="H330" s="101"/>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93"/>
      <c r="I331" s="1091"/>
      <c r="J331" s="1083"/>
      <c r="K331" s="1083"/>
      <c r="L331" s="932"/>
    </row>
    <row r="332" spans="1:12" s="106" customFormat="1" ht="15.75" hidden="1" customHeight="1" outlineLevel="1">
      <c r="A332" s="932"/>
      <c r="B332" s="1086"/>
      <c r="C332" s="1095"/>
      <c r="D332" s="1091"/>
      <c r="E332" s="1091"/>
      <c r="F332" s="1093"/>
      <c r="G332" s="98"/>
      <c r="H332" s="93"/>
      <c r="I332" s="1091"/>
      <c r="J332" s="1084"/>
      <c r="K332" s="1084"/>
      <c r="L332" s="932"/>
    </row>
    <row r="333" spans="1:12" s="106" customFormat="1" ht="15.75" hidden="1" customHeight="1" outlineLevel="1">
      <c r="A333" s="932"/>
      <c r="B333" s="1087"/>
      <c r="C333" s="1096"/>
      <c r="D333" s="1092"/>
      <c r="E333" s="1092"/>
      <c r="F333" s="1094"/>
      <c r="G333" s="103"/>
      <c r="H333" s="101"/>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93"/>
      <c r="I334" s="1091"/>
      <c r="J334" s="1083"/>
      <c r="K334" s="1083"/>
      <c r="L334" s="932"/>
    </row>
    <row r="335" spans="1:12" s="106" customFormat="1" ht="15.75" hidden="1" customHeight="1" outlineLevel="1">
      <c r="A335" s="932"/>
      <c r="B335" s="1086"/>
      <c r="C335" s="1095"/>
      <c r="D335" s="1091"/>
      <c r="E335" s="1091"/>
      <c r="F335" s="1093"/>
      <c r="G335" s="98"/>
      <c r="H335" s="93"/>
      <c r="I335" s="1091"/>
      <c r="J335" s="1084"/>
      <c r="K335" s="1084"/>
      <c r="L335" s="932"/>
    </row>
    <row r="336" spans="1:12" s="106" customFormat="1" ht="15.75" hidden="1" customHeight="1" outlineLevel="1">
      <c r="A336" s="932"/>
      <c r="B336" s="1087"/>
      <c r="C336" s="1096"/>
      <c r="D336" s="1092"/>
      <c r="E336" s="1092"/>
      <c r="F336" s="1094"/>
      <c r="G336" s="103"/>
      <c r="H336" s="101"/>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93"/>
      <c r="I337" s="1091"/>
      <c r="J337" s="1083"/>
      <c r="K337" s="1083"/>
      <c r="L337" s="932"/>
    </row>
    <row r="338" spans="1:12" s="106" customFormat="1" ht="15.75" hidden="1" customHeight="1" outlineLevel="1">
      <c r="A338" s="932"/>
      <c r="B338" s="1086"/>
      <c r="C338" s="1095"/>
      <c r="D338" s="1091"/>
      <c r="E338" s="1091"/>
      <c r="F338" s="1093"/>
      <c r="G338" s="98"/>
      <c r="H338" s="93"/>
      <c r="I338" s="1091"/>
      <c r="J338" s="1084"/>
      <c r="K338" s="1084"/>
      <c r="L338" s="932"/>
    </row>
    <row r="339" spans="1:12" s="106" customFormat="1" ht="15.75" hidden="1" customHeight="1" outlineLevel="1">
      <c r="A339" s="932"/>
      <c r="B339" s="1087"/>
      <c r="C339" s="1096"/>
      <c r="D339" s="1092"/>
      <c r="E339" s="1092"/>
      <c r="F339" s="1094"/>
      <c r="G339" s="103"/>
      <c r="H339" s="101"/>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93"/>
      <c r="I340" s="1091"/>
      <c r="J340" s="1083"/>
      <c r="K340" s="1083"/>
      <c r="L340" s="932"/>
    </row>
    <row r="341" spans="1:12" s="106" customFormat="1" ht="15.75" hidden="1" customHeight="1" outlineLevel="1">
      <c r="A341" s="932"/>
      <c r="B341" s="1086"/>
      <c r="C341" s="1095"/>
      <c r="D341" s="1091"/>
      <c r="E341" s="1091"/>
      <c r="F341" s="1093"/>
      <c r="G341" s="98"/>
      <c r="H341" s="93"/>
      <c r="I341" s="1091"/>
      <c r="J341" s="1084"/>
      <c r="K341" s="1084"/>
      <c r="L341" s="932"/>
    </row>
    <row r="342" spans="1:12" s="106" customFormat="1" ht="15.75" hidden="1" customHeight="1" outlineLevel="1">
      <c r="A342" s="932"/>
      <c r="B342" s="1087"/>
      <c r="C342" s="1096"/>
      <c r="D342" s="1092"/>
      <c r="E342" s="1092"/>
      <c r="F342" s="1094"/>
      <c r="G342" s="103"/>
      <c r="H342" s="101"/>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93"/>
      <c r="I343" s="1091"/>
      <c r="J343" s="1083"/>
      <c r="K343" s="1083"/>
      <c r="L343" s="932"/>
    </row>
    <row r="344" spans="1:12" s="106" customFormat="1" ht="15.75" hidden="1" customHeight="1" outlineLevel="1">
      <c r="A344" s="932"/>
      <c r="B344" s="1086"/>
      <c r="C344" s="1095"/>
      <c r="D344" s="1091"/>
      <c r="E344" s="1091"/>
      <c r="F344" s="1093"/>
      <c r="G344" s="98"/>
      <c r="H344" s="93"/>
      <c r="I344" s="1091"/>
      <c r="J344" s="1084"/>
      <c r="K344" s="1084"/>
      <c r="L344" s="932"/>
    </row>
    <row r="345" spans="1:12" s="106" customFormat="1" ht="15.75" hidden="1" customHeight="1" outlineLevel="1">
      <c r="A345" s="932"/>
      <c r="B345" s="1087"/>
      <c r="C345" s="1096"/>
      <c r="D345" s="1092"/>
      <c r="E345" s="1092"/>
      <c r="F345" s="1094"/>
      <c r="G345" s="103"/>
      <c r="H345" s="101"/>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93"/>
      <c r="I346" s="1091"/>
      <c r="J346" s="1083"/>
      <c r="K346" s="1083"/>
      <c r="L346" s="932"/>
    </row>
    <row r="347" spans="1:12" s="106" customFormat="1" ht="15.75" hidden="1" customHeight="1" outlineLevel="1">
      <c r="A347" s="932"/>
      <c r="B347" s="1086"/>
      <c r="C347" s="1095"/>
      <c r="D347" s="1091"/>
      <c r="E347" s="1091"/>
      <c r="F347" s="1093"/>
      <c r="G347" s="98"/>
      <c r="H347" s="93"/>
      <c r="I347" s="1091"/>
      <c r="J347" s="1084"/>
      <c r="K347" s="1084"/>
      <c r="L347" s="932"/>
    </row>
    <row r="348" spans="1:12" s="106" customFormat="1" ht="15.75" hidden="1" customHeight="1" outlineLevel="1">
      <c r="A348" s="932"/>
      <c r="B348" s="1087"/>
      <c r="C348" s="1096"/>
      <c r="D348" s="1092"/>
      <c r="E348" s="1092"/>
      <c r="F348" s="1094"/>
      <c r="G348" s="103"/>
      <c r="H348" s="101"/>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93"/>
      <c r="I349" s="1091"/>
      <c r="J349" s="1083"/>
      <c r="K349" s="1083"/>
      <c r="L349" s="932"/>
    </row>
    <row r="350" spans="1:12" s="106" customFormat="1" ht="15.75" hidden="1" customHeight="1" outlineLevel="1">
      <c r="A350" s="932"/>
      <c r="B350" s="1086"/>
      <c r="C350" s="1095"/>
      <c r="D350" s="1091"/>
      <c r="E350" s="1091"/>
      <c r="F350" s="1093"/>
      <c r="G350" s="98"/>
      <c r="H350" s="93"/>
      <c r="I350" s="1091"/>
      <c r="J350" s="1084"/>
      <c r="K350" s="1084"/>
      <c r="L350" s="932"/>
    </row>
    <row r="351" spans="1:12" s="106" customFormat="1" ht="15.75" hidden="1" customHeight="1" outlineLevel="1">
      <c r="A351" s="932"/>
      <c r="B351" s="1087"/>
      <c r="C351" s="1096"/>
      <c r="D351" s="1092"/>
      <c r="E351" s="1092"/>
      <c r="F351" s="1094"/>
      <c r="G351" s="103"/>
      <c r="H351" s="101"/>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93"/>
      <c r="I352" s="1091"/>
      <c r="J352" s="1083"/>
      <c r="K352" s="1083"/>
      <c r="L352" s="932"/>
    </row>
    <row r="353" spans="1:12" s="106" customFormat="1" ht="15.75" hidden="1" customHeight="1" outlineLevel="1">
      <c r="A353" s="932"/>
      <c r="B353" s="1086"/>
      <c r="C353" s="1095"/>
      <c r="D353" s="1091"/>
      <c r="E353" s="1091"/>
      <c r="F353" s="1093"/>
      <c r="G353" s="98"/>
      <c r="H353" s="93"/>
      <c r="I353" s="1091"/>
      <c r="J353" s="1084"/>
      <c r="K353" s="1084"/>
      <c r="L353" s="932"/>
    </row>
    <row r="354" spans="1:12" s="106" customFormat="1" ht="15.75" hidden="1" customHeight="1" outlineLevel="1">
      <c r="A354" s="932"/>
      <c r="B354" s="1087"/>
      <c r="C354" s="1096"/>
      <c r="D354" s="1092"/>
      <c r="E354" s="1092"/>
      <c r="F354" s="1094"/>
      <c r="G354" s="103"/>
      <c r="H354" s="101"/>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93"/>
      <c r="I355" s="1091"/>
      <c r="J355" s="1083"/>
      <c r="K355" s="1083"/>
      <c r="L355" s="932"/>
    </row>
    <row r="356" spans="1:12" s="106" customFormat="1" ht="15.75" hidden="1" customHeight="1" outlineLevel="1">
      <c r="A356" s="932"/>
      <c r="B356" s="1086"/>
      <c r="C356" s="1095"/>
      <c r="D356" s="1091"/>
      <c r="E356" s="1091"/>
      <c r="F356" s="1093"/>
      <c r="G356" s="98"/>
      <c r="H356" s="93"/>
      <c r="I356" s="1091"/>
      <c r="J356" s="1084"/>
      <c r="K356" s="1084"/>
      <c r="L356" s="932"/>
    </row>
    <row r="357" spans="1:12" s="106" customFormat="1" ht="15.75" hidden="1" customHeight="1" outlineLevel="1">
      <c r="A357" s="932"/>
      <c r="B357" s="1087"/>
      <c r="C357" s="1096"/>
      <c r="D357" s="1092"/>
      <c r="E357" s="1092"/>
      <c r="F357" s="1094"/>
      <c r="G357" s="103"/>
      <c r="H357" s="101"/>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93"/>
      <c r="I358" s="1091"/>
      <c r="J358" s="1083"/>
      <c r="K358" s="1083"/>
      <c r="L358" s="932"/>
    </row>
    <row r="359" spans="1:12" s="106" customFormat="1" ht="15.75" hidden="1" customHeight="1" outlineLevel="1">
      <c r="A359" s="932"/>
      <c r="B359" s="1086"/>
      <c r="C359" s="1095"/>
      <c r="D359" s="1091"/>
      <c r="E359" s="1091"/>
      <c r="F359" s="1093"/>
      <c r="G359" s="98"/>
      <c r="H359" s="93"/>
      <c r="I359" s="1091"/>
      <c r="J359" s="1084"/>
      <c r="K359" s="1084"/>
      <c r="L359" s="932"/>
    </row>
    <row r="360" spans="1:12" s="106" customFormat="1" ht="15.75" hidden="1" customHeight="1" outlineLevel="1">
      <c r="A360" s="932"/>
      <c r="B360" s="1087"/>
      <c r="C360" s="1096"/>
      <c r="D360" s="1092"/>
      <c r="E360" s="1092"/>
      <c r="F360" s="1094"/>
      <c r="G360" s="103"/>
      <c r="H360" s="101"/>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93"/>
      <c r="I361" s="1091"/>
      <c r="J361" s="1083"/>
      <c r="K361" s="1083"/>
      <c r="L361" s="932"/>
    </row>
    <row r="362" spans="1:12" s="106" customFormat="1" ht="15.75" hidden="1" customHeight="1" outlineLevel="1">
      <c r="A362" s="932"/>
      <c r="B362" s="1086"/>
      <c r="C362" s="1095"/>
      <c r="D362" s="1091"/>
      <c r="E362" s="1091"/>
      <c r="F362" s="1093"/>
      <c r="G362" s="98"/>
      <c r="H362" s="93"/>
      <c r="I362" s="1091"/>
      <c r="J362" s="1084"/>
      <c r="K362" s="1084"/>
      <c r="L362" s="932"/>
    </row>
    <row r="363" spans="1:12" s="106" customFormat="1" ht="15.75" hidden="1" customHeight="1" outlineLevel="1">
      <c r="A363" s="932"/>
      <c r="B363" s="1087"/>
      <c r="C363" s="1096"/>
      <c r="D363" s="1092"/>
      <c r="E363" s="1092"/>
      <c r="F363" s="1094"/>
      <c r="G363" s="103"/>
      <c r="H363" s="101"/>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93"/>
      <c r="I364" s="1091"/>
      <c r="J364" s="1083"/>
      <c r="K364" s="1083"/>
      <c r="L364" s="932"/>
    </row>
    <row r="365" spans="1:12" s="106" customFormat="1" ht="15.75" hidden="1" customHeight="1" outlineLevel="1">
      <c r="A365" s="932"/>
      <c r="B365" s="1086"/>
      <c r="C365" s="1095"/>
      <c r="D365" s="1091"/>
      <c r="E365" s="1091"/>
      <c r="F365" s="1093"/>
      <c r="G365" s="98"/>
      <c r="H365" s="93"/>
      <c r="I365" s="1091"/>
      <c r="J365" s="1084"/>
      <c r="K365" s="1084"/>
      <c r="L365" s="932"/>
    </row>
    <row r="366" spans="1:12" s="106" customFormat="1" ht="15.75" hidden="1" customHeight="1" outlineLevel="1">
      <c r="A366" s="932"/>
      <c r="B366" s="1087"/>
      <c r="C366" s="1096"/>
      <c r="D366" s="1092"/>
      <c r="E366" s="1092"/>
      <c r="F366" s="1094"/>
      <c r="G366" s="103"/>
      <c r="H366" s="101"/>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93"/>
      <c r="I367" s="1091"/>
      <c r="J367" s="1083"/>
      <c r="K367" s="1083"/>
      <c r="L367" s="932"/>
    </row>
    <row r="368" spans="1:12" s="106" customFormat="1" ht="15.75" hidden="1" customHeight="1" outlineLevel="1">
      <c r="A368" s="932"/>
      <c r="B368" s="1086"/>
      <c r="C368" s="1095"/>
      <c r="D368" s="1091"/>
      <c r="E368" s="1091"/>
      <c r="F368" s="1093"/>
      <c r="G368" s="98"/>
      <c r="H368" s="93"/>
      <c r="I368" s="1091"/>
      <c r="J368" s="1084"/>
      <c r="K368" s="1084"/>
      <c r="L368" s="932"/>
    </row>
    <row r="369" spans="1:12" s="106" customFormat="1" ht="15.75" hidden="1" customHeight="1" outlineLevel="1">
      <c r="A369" s="932"/>
      <c r="B369" s="1087"/>
      <c r="C369" s="1096"/>
      <c r="D369" s="1092"/>
      <c r="E369" s="1092"/>
      <c r="F369" s="1094"/>
      <c r="G369" s="103"/>
      <c r="H369" s="101"/>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93"/>
      <c r="I370" s="1091"/>
      <c r="J370" s="1083"/>
      <c r="K370" s="1083"/>
      <c r="L370" s="932"/>
    </row>
    <row r="371" spans="1:12" s="106" customFormat="1" ht="15.75" hidden="1" customHeight="1" outlineLevel="1">
      <c r="A371" s="932"/>
      <c r="B371" s="1086"/>
      <c r="C371" s="1095"/>
      <c r="D371" s="1091"/>
      <c r="E371" s="1091"/>
      <c r="F371" s="1093"/>
      <c r="G371" s="98"/>
      <c r="H371" s="93"/>
      <c r="I371" s="1091"/>
      <c r="J371" s="1084"/>
      <c r="K371" s="1084"/>
      <c r="L371" s="932"/>
    </row>
    <row r="372" spans="1:12" s="106" customFormat="1" ht="15.75" hidden="1" customHeight="1" outlineLevel="1">
      <c r="A372" s="932"/>
      <c r="B372" s="1087"/>
      <c r="C372" s="1096"/>
      <c r="D372" s="1092"/>
      <c r="E372" s="1092"/>
      <c r="F372" s="1094"/>
      <c r="G372" s="103"/>
      <c r="H372" s="101"/>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93"/>
      <c r="I373" s="1091"/>
      <c r="J373" s="1083"/>
      <c r="K373" s="1083"/>
      <c r="L373" s="932"/>
    </row>
    <row r="374" spans="1:12" s="106" customFormat="1" ht="15.75" hidden="1" customHeight="1" outlineLevel="1">
      <c r="A374" s="932"/>
      <c r="B374" s="1086"/>
      <c r="C374" s="1095"/>
      <c r="D374" s="1091"/>
      <c r="E374" s="1091"/>
      <c r="F374" s="1093"/>
      <c r="G374" s="98"/>
      <c r="H374" s="93"/>
      <c r="I374" s="1091"/>
      <c r="J374" s="1084"/>
      <c r="K374" s="1084"/>
      <c r="L374" s="932"/>
    </row>
    <row r="375" spans="1:12" s="106" customFormat="1" ht="15.75" hidden="1" customHeight="1" outlineLevel="1">
      <c r="A375" s="932"/>
      <c r="B375" s="1087"/>
      <c r="C375" s="1096"/>
      <c r="D375" s="1092"/>
      <c r="E375" s="1092"/>
      <c r="F375" s="1094"/>
      <c r="G375" s="103"/>
      <c r="H375" s="101"/>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93"/>
      <c r="I376" s="1091"/>
      <c r="J376" s="1083"/>
      <c r="K376" s="1083"/>
      <c r="L376" s="932"/>
    </row>
    <row r="377" spans="1:12" s="106" customFormat="1" ht="15.75" hidden="1" customHeight="1" outlineLevel="1">
      <c r="A377" s="932"/>
      <c r="B377" s="1086"/>
      <c r="C377" s="1095"/>
      <c r="D377" s="1091"/>
      <c r="E377" s="1091"/>
      <c r="F377" s="1093"/>
      <c r="G377" s="98"/>
      <c r="H377" s="93"/>
      <c r="I377" s="1091"/>
      <c r="J377" s="1084"/>
      <c r="K377" s="1084"/>
      <c r="L377" s="932"/>
    </row>
    <row r="378" spans="1:12" s="106" customFormat="1" ht="15.75" hidden="1" customHeight="1" outlineLevel="1">
      <c r="A378" s="932"/>
      <c r="B378" s="1087"/>
      <c r="C378" s="1096"/>
      <c r="D378" s="1092"/>
      <c r="E378" s="1092"/>
      <c r="F378" s="1094"/>
      <c r="G378" s="103"/>
      <c r="H378" s="101"/>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93"/>
      <c r="I379" s="1091"/>
      <c r="J379" s="1083"/>
      <c r="K379" s="1083"/>
      <c r="L379" s="932"/>
    </row>
    <row r="380" spans="1:12" s="106" customFormat="1" ht="15.75" hidden="1" customHeight="1" outlineLevel="1">
      <c r="A380" s="932"/>
      <c r="B380" s="1086"/>
      <c r="C380" s="1095"/>
      <c r="D380" s="1091"/>
      <c r="E380" s="1091"/>
      <c r="F380" s="1093"/>
      <c r="G380" s="98"/>
      <c r="H380" s="93"/>
      <c r="I380" s="1091"/>
      <c r="J380" s="1084"/>
      <c r="K380" s="1084"/>
      <c r="L380" s="932"/>
    </row>
    <row r="381" spans="1:12" s="106" customFormat="1" ht="15.75" hidden="1" customHeight="1" outlineLevel="1">
      <c r="A381" s="932"/>
      <c r="B381" s="1087"/>
      <c r="C381" s="1096"/>
      <c r="D381" s="1092"/>
      <c r="E381" s="1092"/>
      <c r="F381" s="1094"/>
      <c r="G381" s="103"/>
      <c r="H381" s="101"/>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93"/>
      <c r="I382" s="1091"/>
      <c r="J382" s="1083"/>
      <c r="K382" s="1083"/>
      <c r="L382" s="932"/>
    </row>
    <row r="383" spans="1:12" s="106" customFormat="1" ht="15.75" hidden="1" customHeight="1" outlineLevel="1">
      <c r="A383" s="932"/>
      <c r="B383" s="1086"/>
      <c r="C383" s="1095"/>
      <c r="D383" s="1091"/>
      <c r="E383" s="1091"/>
      <c r="F383" s="1093"/>
      <c r="G383" s="98"/>
      <c r="H383" s="93"/>
      <c r="I383" s="1091"/>
      <c r="J383" s="1084"/>
      <c r="K383" s="1084"/>
      <c r="L383" s="932"/>
    </row>
    <row r="384" spans="1:12" s="106" customFormat="1" ht="15.75" hidden="1" customHeight="1" outlineLevel="1">
      <c r="A384" s="932"/>
      <c r="B384" s="1087"/>
      <c r="C384" s="1096"/>
      <c r="D384" s="1092"/>
      <c r="E384" s="1092"/>
      <c r="F384" s="1094"/>
      <c r="G384" s="103"/>
      <c r="H384" s="101"/>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93"/>
      <c r="I385" s="1091"/>
      <c r="J385" s="1083"/>
      <c r="K385" s="1083"/>
      <c r="L385" s="932"/>
    </row>
    <row r="386" spans="1:12" s="106" customFormat="1" ht="15.75" hidden="1" customHeight="1" outlineLevel="1">
      <c r="A386" s="932"/>
      <c r="B386" s="1086"/>
      <c r="C386" s="1095"/>
      <c r="D386" s="1091"/>
      <c r="E386" s="1091"/>
      <c r="F386" s="1093"/>
      <c r="G386" s="98"/>
      <c r="H386" s="93"/>
      <c r="I386" s="1091"/>
      <c r="J386" s="1084"/>
      <c r="K386" s="1084"/>
      <c r="L386" s="932"/>
    </row>
    <row r="387" spans="1:12" s="106" customFormat="1" ht="15.75" hidden="1" customHeight="1" outlineLevel="1">
      <c r="A387" s="932"/>
      <c r="B387" s="1087"/>
      <c r="C387" s="1096"/>
      <c r="D387" s="1092"/>
      <c r="E387" s="1092"/>
      <c r="F387" s="1094"/>
      <c r="G387" s="103"/>
      <c r="H387" s="101"/>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93"/>
      <c r="I388" s="1091"/>
      <c r="J388" s="1083"/>
      <c r="K388" s="1083"/>
      <c r="L388" s="932"/>
    </row>
    <row r="389" spans="1:12" s="106" customFormat="1" ht="15.75" hidden="1" customHeight="1" outlineLevel="1">
      <c r="A389" s="932"/>
      <c r="B389" s="1086"/>
      <c r="C389" s="1095"/>
      <c r="D389" s="1091"/>
      <c r="E389" s="1091"/>
      <c r="F389" s="1093"/>
      <c r="G389" s="98"/>
      <c r="H389" s="93"/>
      <c r="I389" s="1091"/>
      <c r="J389" s="1084"/>
      <c r="K389" s="1084"/>
      <c r="L389" s="932"/>
    </row>
    <row r="390" spans="1:12" s="106" customFormat="1" ht="15.75" hidden="1" customHeight="1" outlineLevel="1">
      <c r="A390" s="932"/>
      <c r="B390" s="1087"/>
      <c r="C390" s="1096"/>
      <c r="D390" s="1092"/>
      <c r="E390" s="1092"/>
      <c r="F390" s="1094"/>
      <c r="G390" s="103"/>
      <c r="H390" s="101"/>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93"/>
      <c r="I391" s="1091"/>
      <c r="J391" s="1083"/>
      <c r="K391" s="1083"/>
      <c r="L391" s="932"/>
    </row>
    <row r="392" spans="1:12" s="106" customFormat="1" ht="15.75" hidden="1" customHeight="1" outlineLevel="1">
      <c r="A392" s="932"/>
      <c r="B392" s="1086"/>
      <c r="C392" s="1095"/>
      <c r="D392" s="1091"/>
      <c r="E392" s="1091"/>
      <c r="F392" s="1093"/>
      <c r="G392" s="98"/>
      <c r="H392" s="93"/>
      <c r="I392" s="1091"/>
      <c r="J392" s="1084"/>
      <c r="K392" s="1084"/>
      <c r="L392" s="932"/>
    </row>
    <row r="393" spans="1:12" s="106" customFormat="1" ht="15.75" hidden="1" customHeight="1" outlineLevel="1">
      <c r="A393" s="932"/>
      <c r="B393" s="1087"/>
      <c r="C393" s="1096"/>
      <c r="D393" s="1092"/>
      <c r="E393" s="1092"/>
      <c r="F393" s="1094"/>
      <c r="G393" s="103"/>
      <c r="H393" s="101"/>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93"/>
      <c r="I394" s="1091"/>
      <c r="J394" s="1083"/>
      <c r="K394" s="1083"/>
      <c r="L394" s="932"/>
    </row>
    <row r="395" spans="1:12" s="106" customFormat="1" ht="15.75" hidden="1" customHeight="1" outlineLevel="1">
      <c r="A395" s="932"/>
      <c r="B395" s="1086"/>
      <c r="C395" s="1095"/>
      <c r="D395" s="1091"/>
      <c r="E395" s="1091"/>
      <c r="F395" s="1093"/>
      <c r="G395" s="98"/>
      <c r="H395" s="93"/>
      <c r="I395" s="1091"/>
      <c r="J395" s="1084"/>
      <c r="K395" s="1084"/>
      <c r="L395" s="932"/>
    </row>
    <row r="396" spans="1:12" s="106" customFormat="1" ht="15.75" hidden="1" customHeight="1" outlineLevel="1">
      <c r="A396" s="932"/>
      <c r="B396" s="1087"/>
      <c r="C396" s="1096"/>
      <c r="D396" s="1092"/>
      <c r="E396" s="1092"/>
      <c r="F396" s="1094"/>
      <c r="G396" s="103"/>
      <c r="H396" s="101"/>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93"/>
      <c r="I397" s="1091"/>
      <c r="J397" s="1083"/>
      <c r="K397" s="1083"/>
      <c r="L397" s="932"/>
    </row>
    <row r="398" spans="1:12" s="106" customFormat="1" ht="15.75" hidden="1" customHeight="1" outlineLevel="1">
      <c r="A398" s="932"/>
      <c r="B398" s="1086"/>
      <c r="C398" s="1095"/>
      <c r="D398" s="1091"/>
      <c r="E398" s="1091"/>
      <c r="F398" s="1093"/>
      <c r="G398" s="98"/>
      <c r="H398" s="93"/>
      <c r="I398" s="1091"/>
      <c r="J398" s="1084"/>
      <c r="K398" s="1084"/>
      <c r="L398" s="932"/>
    </row>
    <row r="399" spans="1:12" s="106" customFormat="1" ht="15.75" hidden="1" customHeight="1" outlineLevel="1">
      <c r="A399" s="932"/>
      <c r="B399" s="1087"/>
      <c r="C399" s="1096"/>
      <c r="D399" s="1092"/>
      <c r="E399" s="1092"/>
      <c r="F399" s="1094"/>
      <c r="G399" s="103"/>
      <c r="H399" s="101"/>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93"/>
      <c r="I400" s="1091"/>
      <c r="J400" s="1083"/>
      <c r="K400" s="1083"/>
      <c r="L400" s="932"/>
    </row>
    <row r="401" spans="1:12" s="106" customFormat="1" ht="15.75" hidden="1" customHeight="1" outlineLevel="1">
      <c r="A401" s="932"/>
      <c r="B401" s="1086"/>
      <c r="C401" s="1095"/>
      <c r="D401" s="1091"/>
      <c r="E401" s="1091"/>
      <c r="F401" s="1093"/>
      <c r="G401" s="98"/>
      <c r="H401" s="93"/>
      <c r="I401" s="1091"/>
      <c r="J401" s="1084"/>
      <c r="K401" s="1084"/>
      <c r="L401" s="932"/>
    </row>
    <row r="402" spans="1:12" s="106" customFormat="1" ht="15.75" hidden="1" customHeight="1" outlineLevel="1">
      <c r="A402" s="932"/>
      <c r="B402" s="1087"/>
      <c r="C402" s="1096"/>
      <c r="D402" s="1092"/>
      <c r="E402" s="1092"/>
      <c r="F402" s="1094"/>
      <c r="G402" s="103"/>
      <c r="H402" s="101"/>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93"/>
      <c r="I403" s="1091"/>
      <c r="J403" s="1083"/>
      <c r="K403" s="1083"/>
      <c r="L403" s="932"/>
    </row>
    <row r="404" spans="1:12" s="106" customFormat="1" ht="15.75" hidden="1" customHeight="1" outlineLevel="1">
      <c r="A404" s="932"/>
      <c r="B404" s="1086"/>
      <c r="C404" s="1095"/>
      <c r="D404" s="1091"/>
      <c r="E404" s="1091"/>
      <c r="F404" s="1093"/>
      <c r="G404" s="98"/>
      <c r="H404" s="93"/>
      <c r="I404" s="1091"/>
      <c r="J404" s="1084"/>
      <c r="K404" s="1084"/>
      <c r="L404" s="932"/>
    </row>
    <row r="405" spans="1:12" s="106" customFormat="1" ht="15.75" hidden="1" customHeight="1" outlineLevel="1">
      <c r="A405" s="932"/>
      <c r="B405" s="1087"/>
      <c r="C405" s="1096"/>
      <c r="D405" s="1092"/>
      <c r="E405" s="1092"/>
      <c r="F405" s="1094"/>
      <c r="G405" s="103"/>
      <c r="H405" s="101"/>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93"/>
      <c r="I406" s="1091"/>
      <c r="J406" s="1083"/>
      <c r="K406" s="1083"/>
      <c r="L406" s="932"/>
    </row>
    <row r="407" spans="1:12" s="106" customFormat="1" ht="15.75" hidden="1" customHeight="1" outlineLevel="1">
      <c r="A407" s="932"/>
      <c r="B407" s="1086"/>
      <c r="C407" s="1095"/>
      <c r="D407" s="1091"/>
      <c r="E407" s="1091"/>
      <c r="F407" s="1093"/>
      <c r="G407" s="98"/>
      <c r="H407" s="93"/>
      <c r="I407" s="1091"/>
      <c r="J407" s="1084"/>
      <c r="K407" s="1084"/>
      <c r="L407" s="932"/>
    </row>
    <row r="408" spans="1:12" s="106" customFormat="1" ht="15.75" hidden="1" customHeight="1" outlineLevel="1">
      <c r="A408" s="932"/>
      <c r="B408" s="1087"/>
      <c r="C408" s="1096"/>
      <c r="D408" s="1092"/>
      <c r="E408" s="1092"/>
      <c r="F408" s="1094"/>
      <c r="G408" s="103"/>
      <c r="H408" s="101"/>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93"/>
      <c r="I409" s="1091"/>
      <c r="J409" s="1083"/>
      <c r="K409" s="1083"/>
      <c r="L409" s="932"/>
    </row>
    <row r="410" spans="1:12" s="106" customFormat="1" ht="15.75" hidden="1" customHeight="1" outlineLevel="1">
      <c r="A410" s="932"/>
      <c r="B410" s="1086"/>
      <c r="C410" s="1095"/>
      <c r="D410" s="1091"/>
      <c r="E410" s="1091"/>
      <c r="F410" s="1093"/>
      <c r="G410" s="98"/>
      <c r="H410" s="93"/>
      <c r="I410" s="1091"/>
      <c r="J410" s="1084"/>
      <c r="K410" s="1084"/>
      <c r="L410" s="932"/>
    </row>
    <row r="411" spans="1:12" s="106" customFormat="1" ht="15.75" hidden="1" customHeight="1" outlineLevel="1">
      <c r="A411" s="932"/>
      <c r="B411" s="1087"/>
      <c r="C411" s="1096"/>
      <c r="D411" s="1092"/>
      <c r="E411" s="1092"/>
      <c r="F411" s="1094"/>
      <c r="G411" s="103"/>
      <c r="H411" s="101"/>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93"/>
      <c r="I412" s="1091"/>
      <c r="J412" s="1083"/>
      <c r="K412" s="1083"/>
      <c r="L412" s="932"/>
    </row>
    <row r="413" spans="1:12" s="106" customFormat="1" ht="15.75" hidden="1" customHeight="1" outlineLevel="1">
      <c r="A413" s="932"/>
      <c r="B413" s="1086"/>
      <c r="C413" s="1095"/>
      <c r="D413" s="1091"/>
      <c r="E413" s="1091"/>
      <c r="F413" s="1093"/>
      <c r="G413" s="98"/>
      <c r="H413" s="93"/>
      <c r="I413" s="1091"/>
      <c r="J413" s="1084"/>
      <c r="K413" s="1084"/>
      <c r="L413" s="932"/>
    </row>
    <row r="414" spans="1:12" s="106" customFormat="1" ht="15.75" hidden="1" customHeight="1" outlineLevel="1">
      <c r="A414" s="932"/>
      <c r="B414" s="1087"/>
      <c r="C414" s="1096"/>
      <c r="D414" s="1092"/>
      <c r="E414" s="1092"/>
      <c r="F414" s="1094"/>
      <c r="G414" s="103"/>
      <c r="H414" s="101"/>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93"/>
      <c r="I415" s="1091"/>
      <c r="J415" s="1083"/>
      <c r="K415" s="1083"/>
      <c r="L415" s="932"/>
    </row>
    <row r="416" spans="1:12" s="106" customFormat="1" ht="15.75" hidden="1" customHeight="1" outlineLevel="1">
      <c r="A416" s="932"/>
      <c r="B416" s="1086"/>
      <c r="C416" s="1095"/>
      <c r="D416" s="1091"/>
      <c r="E416" s="1091"/>
      <c r="F416" s="1093"/>
      <c r="G416" s="98"/>
      <c r="H416" s="93"/>
      <c r="I416" s="1091"/>
      <c r="J416" s="1084"/>
      <c r="K416" s="1084"/>
      <c r="L416" s="932"/>
    </row>
    <row r="417" spans="1:12" s="106" customFormat="1" ht="15.75" hidden="1" customHeight="1" outlineLevel="1">
      <c r="A417" s="932"/>
      <c r="B417" s="1087"/>
      <c r="C417" s="1096"/>
      <c r="D417" s="1092"/>
      <c r="E417" s="1092"/>
      <c r="F417" s="1094"/>
      <c r="G417" s="103"/>
      <c r="H417" s="101"/>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93"/>
      <c r="I418" s="1091"/>
      <c r="J418" s="1083"/>
      <c r="K418" s="1083"/>
      <c r="L418" s="932"/>
    </row>
    <row r="419" spans="1:12" s="106" customFormat="1" ht="15.75" hidden="1" customHeight="1" outlineLevel="1">
      <c r="A419" s="932"/>
      <c r="B419" s="1086"/>
      <c r="C419" s="1095"/>
      <c r="D419" s="1091"/>
      <c r="E419" s="1091"/>
      <c r="F419" s="1093"/>
      <c r="G419" s="98"/>
      <c r="H419" s="93"/>
      <c r="I419" s="1091"/>
      <c r="J419" s="1084"/>
      <c r="K419" s="1084"/>
      <c r="L419" s="932"/>
    </row>
    <row r="420" spans="1:12" s="106" customFormat="1" ht="15.75" hidden="1" customHeight="1" outlineLevel="1">
      <c r="A420" s="932"/>
      <c r="B420" s="1087"/>
      <c r="C420" s="1096"/>
      <c r="D420" s="1092"/>
      <c r="E420" s="1092"/>
      <c r="F420" s="1094"/>
      <c r="G420" s="103"/>
      <c r="H420" s="101"/>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93"/>
      <c r="I421" s="1091"/>
      <c r="J421" s="1083"/>
      <c r="K421" s="1083"/>
      <c r="L421" s="932"/>
    </row>
    <row r="422" spans="1:12" s="106" customFormat="1" ht="15.75" hidden="1" customHeight="1" outlineLevel="1">
      <c r="A422" s="932"/>
      <c r="B422" s="1086"/>
      <c r="C422" s="1095"/>
      <c r="D422" s="1091"/>
      <c r="E422" s="1091"/>
      <c r="F422" s="1093"/>
      <c r="G422" s="98"/>
      <c r="H422" s="93"/>
      <c r="I422" s="1091"/>
      <c r="J422" s="1084"/>
      <c r="K422" s="1084"/>
      <c r="L422" s="932"/>
    </row>
    <row r="423" spans="1:12" s="106" customFormat="1" ht="15.75" hidden="1" customHeight="1" outlineLevel="1">
      <c r="A423" s="932"/>
      <c r="B423" s="1087"/>
      <c r="C423" s="1096"/>
      <c r="D423" s="1092"/>
      <c r="E423" s="1092"/>
      <c r="F423" s="1094"/>
      <c r="G423" s="103"/>
      <c r="H423" s="101"/>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93"/>
      <c r="I424" s="1091"/>
      <c r="J424" s="1083"/>
      <c r="K424" s="1083"/>
      <c r="L424" s="932"/>
    </row>
    <row r="425" spans="1:12" s="106" customFormat="1" ht="15.75" hidden="1" customHeight="1" outlineLevel="1">
      <c r="A425" s="932"/>
      <c r="B425" s="1086"/>
      <c r="C425" s="1095"/>
      <c r="D425" s="1091"/>
      <c r="E425" s="1091"/>
      <c r="F425" s="1093"/>
      <c r="G425" s="98"/>
      <c r="H425" s="93"/>
      <c r="I425" s="1091"/>
      <c r="J425" s="1084"/>
      <c r="K425" s="1084"/>
      <c r="L425" s="932"/>
    </row>
    <row r="426" spans="1:12" s="106" customFormat="1" ht="15.75" hidden="1" customHeight="1" outlineLevel="1">
      <c r="A426" s="932"/>
      <c r="B426" s="1087"/>
      <c r="C426" s="1096"/>
      <c r="D426" s="1092"/>
      <c r="E426" s="1092"/>
      <c r="F426" s="1094"/>
      <c r="G426" s="103"/>
      <c r="H426" s="101"/>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93"/>
      <c r="I427" s="1091"/>
      <c r="J427" s="1083"/>
      <c r="K427" s="1083"/>
      <c r="L427" s="932"/>
    </row>
    <row r="428" spans="1:12" s="106" customFormat="1" ht="15.75" hidden="1" customHeight="1" outlineLevel="1">
      <c r="A428" s="932"/>
      <c r="B428" s="1086"/>
      <c r="C428" s="1095"/>
      <c r="D428" s="1091"/>
      <c r="E428" s="1091"/>
      <c r="F428" s="1093"/>
      <c r="G428" s="98"/>
      <c r="H428" s="93"/>
      <c r="I428" s="1091"/>
      <c r="J428" s="1084"/>
      <c r="K428" s="1084"/>
      <c r="L428" s="932"/>
    </row>
    <row r="429" spans="1:12" s="106" customFormat="1" ht="15.75" hidden="1" customHeight="1" outlineLevel="1">
      <c r="A429" s="932"/>
      <c r="B429" s="1087"/>
      <c r="C429" s="1096"/>
      <c r="D429" s="1092"/>
      <c r="E429" s="1092"/>
      <c r="F429" s="1094"/>
      <c r="G429" s="103"/>
      <c r="H429" s="101"/>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93"/>
      <c r="I430" s="1091"/>
      <c r="J430" s="1083"/>
      <c r="K430" s="1083"/>
      <c r="L430" s="932"/>
    </row>
    <row r="431" spans="1:12" s="106" customFormat="1" ht="15.75" hidden="1" customHeight="1" outlineLevel="1">
      <c r="A431" s="932"/>
      <c r="B431" s="1086"/>
      <c r="C431" s="1095"/>
      <c r="D431" s="1091"/>
      <c r="E431" s="1091"/>
      <c r="F431" s="1093"/>
      <c r="G431" s="98"/>
      <c r="H431" s="93"/>
      <c r="I431" s="1091"/>
      <c r="J431" s="1084"/>
      <c r="K431" s="1084"/>
      <c r="L431" s="932"/>
    </row>
    <row r="432" spans="1:12" s="106" customFormat="1" ht="15.75" hidden="1" customHeight="1" outlineLevel="1">
      <c r="A432" s="932"/>
      <c r="B432" s="1087"/>
      <c r="C432" s="1096"/>
      <c r="D432" s="1092"/>
      <c r="E432" s="1092"/>
      <c r="F432" s="1094"/>
      <c r="G432" s="103"/>
      <c r="H432" s="101"/>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93"/>
      <c r="I433" s="1091"/>
      <c r="J433" s="1083"/>
      <c r="K433" s="1083"/>
      <c r="L433" s="932"/>
    </row>
    <row r="434" spans="1:12" s="106" customFormat="1" ht="15.75" hidden="1" customHeight="1" outlineLevel="1">
      <c r="A434" s="932"/>
      <c r="B434" s="1086"/>
      <c r="C434" s="1095"/>
      <c r="D434" s="1091"/>
      <c r="E434" s="1091"/>
      <c r="F434" s="1093"/>
      <c r="G434" s="98"/>
      <c r="H434" s="93"/>
      <c r="I434" s="1091"/>
      <c r="J434" s="1084"/>
      <c r="K434" s="1084"/>
      <c r="L434" s="932"/>
    </row>
    <row r="435" spans="1:12" s="106" customFormat="1" ht="15.75" hidden="1" customHeight="1" outlineLevel="1">
      <c r="A435" s="932"/>
      <c r="B435" s="1087"/>
      <c r="C435" s="1096"/>
      <c r="D435" s="1092"/>
      <c r="E435" s="1092"/>
      <c r="F435" s="1094"/>
      <c r="G435" s="103"/>
      <c r="H435" s="101"/>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93"/>
      <c r="I436" s="1091"/>
      <c r="J436" s="1083"/>
      <c r="K436" s="1083"/>
      <c r="L436" s="932"/>
    </row>
    <row r="437" spans="1:12" s="106" customFormat="1" ht="15.75" hidden="1" customHeight="1" outlineLevel="1">
      <c r="A437" s="932"/>
      <c r="B437" s="1086"/>
      <c r="C437" s="1095"/>
      <c r="D437" s="1091"/>
      <c r="E437" s="1091"/>
      <c r="F437" s="1093"/>
      <c r="G437" s="98"/>
      <c r="H437" s="93"/>
      <c r="I437" s="1091"/>
      <c r="J437" s="1084"/>
      <c r="K437" s="1084"/>
      <c r="L437" s="932"/>
    </row>
    <row r="438" spans="1:12" s="106" customFormat="1" ht="15.75" hidden="1" customHeight="1" outlineLevel="1">
      <c r="A438" s="932"/>
      <c r="B438" s="1087"/>
      <c r="C438" s="1096"/>
      <c r="D438" s="1092"/>
      <c r="E438" s="1092"/>
      <c r="F438" s="1094"/>
      <c r="G438" s="103"/>
      <c r="H438" s="101"/>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93"/>
      <c r="I439" s="1091"/>
      <c r="J439" s="1083"/>
      <c r="K439" s="1083"/>
      <c r="L439" s="932"/>
    </row>
    <row r="440" spans="1:12" s="106" customFormat="1" ht="15.75" hidden="1" customHeight="1" outlineLevel="1">
      <c r="A440" s="932"/>
      <c r="B440" s="1086"/>
      <c r="C440" s="1095"/>
      <c r="D440" s="1091"/>
      <c r="E440" s="1091"/>
      <c r="F440" s="1093"/>
      <c r="G440" s="98"/>
      <c r="H440" s="93"/>
      <c r="I440" s="1091"/>
      <c r="J440" s="1084"/>
      <c r="K440" s="1084"/>
      <c r="L440" s="932"/>
    </row>
    <row r="441" spans="1:12" s="106" customFormat="1" ht="15.75" hidden="1" customHeight="1" outlineLevel="1">
      <c r="A441" s="932"/>
      <c r="B441" s="1087"/>
      <c r="C441" s="1096"/>
      <c r="D441" s="1092"/>
      <c r="E441" s="1092"/>
      <c r="F441" s="1094"/>
      <c r="G441" s="103"/>
      <c r="H441" s="101"/>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93"/>
      <c r="I442" s="1091"/>
      <c r="J442" s="1083"/>
      <c r="K442" s="1083"/>
      <c r="L442" s="932"/>
    </row>
    <row r="443" spans="1:12" s="106" customFormat="1" ht="15.75" hidden="1" customHeight="1" outlineLevel="1">
      <c r="A443" s="932"/>
      <c r="B443" s="1086"/>
      <c r="C443" s="1095"/>
      <c r="D443" s="1091"/>
      <c r="E443" s="1091"/>
      <c r="F443" s="1093"/>
      <c r="G443" s="98"/>
      <c r="H443" s="93"/>
      <c r="I443" s="1091"/>
      <c r="J443" s="1084"/>
      <c r="K443" s="1084"/>
      <c r="L443" s="932"/>
    </row>
    <row r="444" spans="1:12" s="106" customFormat="1" ht="15.75" hidden="1" customHeight="1" outlineLevel="1">
      <c r="A444" s="932"/>
      <c r="B444" s="1087"/>
      <c r="C444" s="1096"/>
      <c r="D444" s="1092"/>
      <c r="E444" s="1092"/>
      <c r="F444" s="1094"/>
      <c r="G444" s="103"/>
      <c r="H444" s="101"/>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93"/>
      <c r="I445" s="1091"/>
      <c r="J445" s="1083"/>
      <c r="K445" s="1083"/>
      <c r="L445" s="932"/>
    </row>
    <row r="446" spans="1:12" s="106" customFormat="1" ht="15.75" hidden="1" customHeight="1" outlineLevel="1">
      <c r="A446" s="932"/>
      <c r="B446" s="1086"/>
      <c r="C446" s="1095"/>
      <c r="D446" s="1091"/>
      <c r="E446" s="1091"/>
      <c r="F446" s="1093"/>
      <c r="G446" s="98"/>
      <c r="H446" s="93"/>
      <c r="I446" s="1091"/>
      <c r="J446" s="1084"/>
      <c r="K446" s="1084"/>
      <c r="L446" s="932"/>
    </row>
    <row r="447" spans="1:12" s="106" customFormat="1" ht="15.75" hidden="1" customHeight="1" outlineLevel="1">
      <c r="A447" s="932"/>
      <c r="B447" s="1087"/>
      <c r="C447" s="1096"/>
      <c r="D447" s="1092"/>
      <c r="E447" s="1092"/>
      <c r="F447" s="1094"/>
      <c r="G447" s="103"/>
      <c r="H447" s="101"/>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93"/>
      <c r="I448" s="1091"/>
      <c r="J448" s="1083"/>
      <c r="K448" s="1083"/>
      <c r="L448" s="932"/>
    </row>
    <row r="449" spans="1:12" s="106" customFormat="1" ht="15.75" hidden="1" customHeight="1" outlineLevel="1">
      <c r="A449" s="932"/>
      <c r="B449" s="1086"/>
      <c r="C449" s="1095"/>
      <c r="D449" s="1091"/>
      <c r="E449" s="1091"/>
      <c r="F449" s="1093"/>
      <c r="G449" s="98"/>
      <c r="H449" s="93"/>
      <c r="I449" s="1091"/>
      <c r="J449" s="1084"/>
      <c r="K449" s="1084"/>
      <c r="L449" s="932"/>
    </row>
    <row r="450" spans="1:12" s="106" customFormat="1" ht="15.75" hidden="1" customHeight="1" outlineLevel="1">
      <c r="A450" s="932"/>
      <c r="B450" s="1087"/>
      <c r="C450" s="1096"/>
      <c r="D450" s="1092"/>
      <c r="E450" s="1092"/>
      <c r="F450" s="1094"/>
      <c r="G450" s="103"/>
      <c r="H450" s="101"/>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93"/>
      <c r="I451" s="1091"/>
      <c r="J451" s="1083"/>
      <c r="K451" s="1083"/>
      <c r="L451" s="932"/>
    </row>
    <row r="452" spans="1:12" s="106" customFormat="1" ht="15.75" hidden="1" customHeight="1" outlineLevel="1">
      <c r="A452" s="932"/>
      <c r="B452" s="1086"/>
      <c r="C452" s="1095"/>
      <c r="D452" s="1091"/>
      <c r="E452" s="1091"/>
      <c r="F452" s="1093"/>
      <c r="G452" s="98"/>
      <c r="H452" s="93"/>
      <c r="I452" s="1091"/>
      <c r="J452" s="1084"/>
      <c r="K452" s="1084"/>
      <c r="L452" s="932"/>
    </row>
    <row r="453" spans="1:12" s="106" customFormat="1" ht="15.75" hidden="1" customHeight="1" outlineLevel="1">
      <c r="A453" s="932"/>
      <c r="B453" s="1087"/>
      <c r="C453" s="1096"/>
      <c r="D453" s="1092"/>
      <c r="E453" s="1092"/>
      <c r="F453" s="1094"/>
      <c r="G453" s="103"/>
      <c r="H453" s="101"/>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93"/>
      <c r="I454" s="1091"/>
      <c r="J454" s="1083"/>
      <c r="K454" s="1083"/>
      <c r="L454" s="932"/>
    </row>
    <row r="455" spans="1:12" s="106" customFormat="1" ht="15.75" hidden="1" customHeight="1" outlineLevel="1">
      <c r="A455" s="932"/>
      <c r="B455" s="1086"/>
      <c r="C455" s="1095"/>
      <c r="D455" s="1091"/>
      <c r="E455" s="1091"/>
      <c r="F455" s="1093"/>
      <c r="G455" s="98"/>
      <c r="H455" s="93"/>
      <c r="I455" s="1091"/>
      <c r="J455" s="1084"/>
      <c r="K455" s="1084"/>
      <c r="L455" s="932"/>
    </row>
    <row r="456" spans="1:12" s="106" customFormat="1" ht="15.75" hidden="1" customHeight="1" outlineLevel="1">
      <c r="A456" s="932"/>
      <c r="B456" s="1087"/>
      <c r="C456" s="1096"/>
      <c r="D456" s="1092"/>
      <c r="E456" s="1092"/>
      <c r="F456" s="1094"/>
      <c r="G456" s="103"/>
      <c r="H456" s="101"/>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93"/>
      <c r="I457" s="1091"/>
      <c r="J457" s="1083"/>
      <c r="K457" s="1083"/>
      <c r="L457" s="932"/>
    </row>
    <row r="458" spans="1:12" s="106" customFormat="1" ht="15.75" hidden="1" customHeight="1" outlineLevel="1">
      <c r="A458" s="932"/>
      <c r="B458" s="1086"/>
      <c r="C458" s="1095"/>
      <c r="D458" s="1091"/>
      <c r="E458" s="1091"/>
      <c r="F458" s="1093"/>
      <c r="G458" s="98"/>
      <c r="H458" s="93"/>
      <c r="I458" s="1091"/>
      <c r="J458" s="1084"/>
      <c r="K458" s="1084"/>
      <c r="L458" s="932"/>
    </row>
    <row r="459" spans="1:12" s="106" customFormat="1" ht="15.75" hidden="1" customHeight="1" outlineLevel="1">
      <c r="A459" s="932"/>
      <c r="B459" s="1087"/>
      <c r="C459" s="1096"/>
      <c r="D459" s="1092"/>
      <c r="E459" s="1092"/>
      <c r="F459" s="1094"/>
      <c r="G459" s="103"/>
      <c r="H459" s="101"/>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93"/>
      <c r="I460" s="1091"/>
      <c r="J460" s="1083"/>
      <c r="K460" s="1083"/>
      <c r="L460" s="932"/>
    </row>
    <row r="461" spans="1:12" s="106" customFormat="1" ht="15.75" hidden="1" customHeight="1" outlineLevel="1">
      <c r="A461" s="932"/>
      <c r="B461" s="1086"/>
      <c r="C461" s="1095"/>
      <c r="D461" s="1091"/>
      <c r="E461" s="1091"/>
      <c r="F461" s="1093"/>
      <c r="G461" s="98"/>
      <c r="H461" s="93"/>
      <c r="I461" s="1091"/>
      <c r="J461" s="1084"/>
      <c r="K461" s="1084"/>
      <c r="L461" s="932"/>
    </row>
    <row r="462" spans="1:12" s="106" customFormat="1" ht="15.75" hidden="1" customHeight="1" outlineLevel="1">
      <c r="A462" s="932"/>
      <c r="B462" s="1087"/>
      <c r="C462" s="1096"/>
      <c r="D462" s="1092"/>
      <c r="E462" s="1092"/>
      <c r="F462" s="1094"/>
      <c r="G462" s="103"/>
      <c r="H462" s="101"/>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93"/>
      <c r="I463" s="1091"/>
      <c r="J463" s="1083"/>
      <c r="K463" s="1083"/>
      <c r="L463" s="932"/>
    </row>
    <row r="464" spans="1:12" s="106" customFormat="1" ht="15.75" hidden="1" customHeight="1" outlineLevel="1">
      <c r="A464" s="932"/>
      <c r="B464" s="1086"/>
      <c r="C464" s="1095"/>
      <c r="D464" s="1091"/>
      <c r="E464" s="1091"/>
      <c r="F464" s="1093"/>
      <c r="G464" s="98"/>
      <c r="H464" s="93"/>
      <c r="I464" s="1091"/>
      <c r="J464" s="1084"/>
      <c r="K464" s="1084"/>
      <c r="L464" s="932"/>
    </row>
    <row r="465" spans="1:12" s="106" customFormat="1" ht="15.75" hidden="1" customHeight="1" outlineLevel="1">
      <c r="A465" s="932"/>
      <c r="B465" s="1087"/>
      <c r="C465" s="1096"/>
      <c r="D465" s="1092"/>
      <c r="E465" s="1092"/>
      <c r="F465" s="1094"/>
      <c r="G465" s="103"/>
      <c r="H465" s="101"/>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93"/>
      <c r="I466" s="1091"/>
      <c r="J466" s="1083"/>
      <c r="K466" s="1083"/>
      <c r="L466" s="932"/>
    </row>
    <row r="467" spans="1:12" s="106" customFormat="1" ht="15.75" hidden="1" customHeight="1" outlineLevel="1">
      <c r="A467" s="932"/>
      <c r="B467" s="1086"/>
      <c r="C467" s="1095"/>
      <c r="D467" s="1091"/>
      <c r="E467" s="1091"/>
      <c r="F467" s="1093"/>
      <c r="G467" s="98"/>
      <c r="H467" s="93"/>
      <c r="I467" s="1091"/>
      <c r="J467" s="1084"/>
      <c r="K467" s="1084"/>
      <c r="L467" s="932"/>
    </row>
    <row r="468" spans="1:12" s="106" customFormat="1" ht="15.75" hidden="1" customHeight="1" outlineLevel="1">
      <c r="A468" s="932"/>
      <c r="B468" s="1087"/>
      <c r="C468" s="1096"/>
      <c r="D468" s="1092"/>
      <c r="E468" s="1092"/>
      <c r="F468" s="1094"/>
      <c r="G468" s="103"/>
      <c r="H468" s="101"/>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93"/>
      <c r="I469" s="1091"/>
      <c r="J469" s="1083"/>
      <c r="K469" s="1083"/>
      <c r="L469" s="932"/>
    </row>
    <row r="470" spans="1:12" s="106" customFormat="1" ht="15.75" hidden="1" customHeight="1" outlineLevel="1">
      <c r="A470" s="932"/>
      <c r="B470" s="1086"/>
      <c r="C470" s="1095"/>
      <c r="D470" s="1091"/>
      <c r="E470" s="1091"/>
      <c r="F470" s="1093"/>
      <c r="G470" s="98"/>
      <c r="H470" s="93"/>
      <c r="I470" s="1091"/>
      <c r="J470" s="1084"/>
      <c r="K470" s="1084"/>
      <c r="L470" s="932"/>
    </row>
    <row r="471" spans="1:12" s="106" customFormat="1" ht="15.75" hidden="1" customHeight="1" outlineLevel="1">
      <c r="A471" s="932"/>
      <c r="B471" s="1087"/>
      <c r="C471" s="1096"/>
      <c r="D471" s="1092"/>
      <c r="E471" s="1092"/>
      <c r="F471" s="1094"/>
      <c r="G471" s="103"/>
      <c r="H471" s="101"/>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93"/>
      <c r="I472" s="1091"/>
      <c r="J472" s="1083"/>
      <c r="K472" s="1083"/>
      <c r="L472" s="932"/>
    </row>
    <row r="473" spans="1:12" s="106" customFormat="1" ht="15.75" hidden="1" customHeight="1" outlineLevel="1">
      <c r="A473" s="932"/>
      <c r="B473" s="1086"/>
      <c r="C473" s="1095"/>
      <c r="D473" s="1091"/>
      <c r="E473" s="1091"/>
      <c r="F473" s="1093"/>
      <c r="G473" s="98"/>
      <c r="H473" s="93"/>
      <c r="I473" s="1091"/>
      <c r="J473" s="1084"/>
      <c r="K473" s="1084"/>
      <c r="L473" s="932"/>
    </row>
    <row r="474" spans="1:12" s="106" customFormat="1" ht="15.75" hidden="1" customHeight="1" outlineLevel="1">
      <c r="A474" s="932"/>
      <c r="B474" s="1087"/>
      <c r="C474" s="1096"/>
      <c r="D474" s="1092"/>
      <c r="E474" s="1092"/>
      <c r="F474" s="1094"/>
      <c r="G474" s="103"/>
      <c r="H474" s="101"/>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93"/>
      <c r="I475" s="1091"/>
      <c r="J475" s="1083"/>
      <c r="K475" s="1083"/>
      <c r="L475" s="932"/>
    </row>
    <row r="476" spans="1:12" s="106" customFormat="1" ht="15.75" hidden="1" customHeight="1" outlineLevel="1">
      <c r="A476" s="932"/>
      <c r="B476" s="1086"/>
      <c r="C476" s="1095"/>
      <c r="D476" s="1091"/>
      <c r="E476" s="1091"/>
      <c r="F476" s="1093"/>
      <c r="G476" s="98"/>
      <c r="H476" s="93"/>
      <c r="I476" s="1091"/>
      <c r="J476" s="1084"/>
      <c r="K476" s="1084"/>
      <c r="L476" s="932"/>
    </row>
    <row r="477" spans="1:12" s="106" customFormat="1" ht="15.75" hidden="1" customHeight="1" outlineLevel="1">
      <c r="A477" s="932"/>
      <c r="B477" s="1087"/>
      <c r="C477" s="1096"/>
      <c r="D477" s="1092"/>
      <c r="E477" s="1092"/>
      <c r="F477" s="1094"/>
      <c r="G477" s="103"/>
      <c r="H477" s="101"/>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93"/>
      <c r="I478" s="1091"/>
      <c r="J478" s="1083"/>
      <c r="K478" s="1083"/>
      <c r="L478" s="932"/>
    </row>
    <row r="479" spans="1:12" s="106" customFormat="1" ht="15.75" hidden="1" customHeight="1" outlineLevel="1">
      <c r="A479" s="932"/>
      <c r="B479" s="1086"/>
      <c r="C479" s="1095"/>
      <c r="D479" s="1091"/>
      <c r="E479" s="1091"/>
      <c r="F479" s="1093"/>
      <c r="G479" s="98"/>
      <c r="H479" s="93"/>
      <c r="I479" s="1091"/>
      <c r="J479" s="1084"/>
      <c r="K479" s="1084"/>
      <c r="L479" s="932"/>
    </row>
    <row r="480" spans="1:12" s="106" customFormat="1" ht="15.75" hidden="1" customHeight="1" outlineLevel="1">
      <c r="A480" s="932"/>
      <c r="B480" s="1087"/>
      <c r="C480" s="1096"/>
      <c r="D480" s="1092"/>
      <c r="E480" s="1092"/>
      <c r="F480" s="1094"/>
      <c r="G480" s="103"/>
      <c r="H480" s="101"/>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93"/>
      <c r="I481" s="1091"/>
      <c r="J481" s="1083"/>
      <c r="K481" s="1083"/>
      <c r="L481" s="932"/>
    </row>
    <row r="482" spans="1:12" s="106" customFormat="1" ht="15.75" hidden="1" customHeight="1" outlineLevel="1">
      <c r="A482" s="932"/>
      <c r="B482" s="1086"/>
      <c r="C482" s="1095"/>
      <c r="D482" s="1091"/>
      <c r="E482" s="1091"/>
      <c r="F482" s="1093"/>
      <c r="G482" s="98"/>
      <c r="H482" s="93"/>
      <c r="I482" s="1091"/>
      <c r="J482" s="1084"/>
      <c r="K482" s="1084"/>
      <c r="L482" s="932"/>
    </row>
    <row r="483" spans="1:12" s="106" customFormat="1" ht="15.75" hidden="1" customHeight="1" outlineLevel="1">
      <c r="A483" s="932"/>
      <c r="B483" s="1087"/>
      <c r="C483" s="1096"/>
      <c r="D483" s="1092"/>
      <c r="E483" s="1092"/>
      <c r="F483" s="1094"/>
      <c r="G483" s="103"/>
      <c r="H483" s="101"/>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93"/>
      <c r="I484" s="1091"/>
      <c r="J484" s="1083"/>
      <c r="K484" s="1083"/>
      <c r="L484" s="932"/>
    </row>
    <row r="485" spans="1:12" s="106" customFormat="1" ht="15.75" hidden="1" customHeight="1" outlineLevel="1">
      <c r="A485" s="932"/>
      <c r="B485" s="1086"/>
      <c r="C485" s="1095"/>
      <c r="D485" s="1091"/>
      <c r="E485" s="1091"/>
      <c r="F485" s="1093"/>
      <c r="G485" s="98"/>
      <c r="H485" s="93"/>
      <c r="I485" s="1091"/>
      <c r="J485" s="1084"/>
      <c r="K485" s="1084"/>
      <c r="L485" s="932"/>
    </row>
    <row r="486" spans="1:12" s="106" customFormat="1" ht="15.75" hidden="1" customHeight="1" outlineLevel="1">
      <c r="A486" s="932"/>
      <c r="B486" s="1087"/>
      <c r="C486" s="1096"/>
      <c r="D486" s="1092"/>
      <c r="E486" s="1092"/>
      <c r="F486" s="1094"/>
      <c r="G486" s="103"/>
      <c r="H486" s="101"/>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93"/>
      <c r="I487" s="1091"/>
      <c r="J487" s="1083"/>
      <c r="K487" s="1083"/>
      <c r="L487" s="932"/>
    </row>
    <row r="488" spans="1:12" s="106" customFormat="1" ht="15.75" hidden="1" customHeight="1" outlineLevel="1">
      <c r="A488" s="932"/>
      <c r="B488" s="1086"/>
      <c r="C488" s="1095"/>
      <c r="D488" s="1091"/>
      <c r="E488" s="1091"/>
      <c r="F488" s="1093"/>
      <c r="G488" s="98"/>
      <c r="H488" s="93"/>
      <c r="I488" s="1091"/>
      <c r="J488" s="1084"/>
      <c r="K488" s="1084"/>
      <c r="L488" s="932"/>
    </row>
    <row r="489" spans="1:12" s="106" customFormat="1" ht="15.75" hidden="1" customHeight="1" outlineLevel="1">
      <c r="A489" s="932"/>
      <c r="B489" s="1087"/>
      <c r="C489" s="1096"/>
      <c r="D489" s="1092"/>
      <c r="E489" s="1092"/>
      <c r="F489" s="1094"/>
      <c r="G489" s="103"/>
      <c r="H489" s="101"/>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93"/>
      <c r="I490" s="1091"/>
      <c r="J490" s="1083"/>
      <c r="K490" s="1083"/>
      <c r="L490" s="932"/>
    </row>
    <row r="491" spans="1:12" s="106" customFormat="1" ht="15.75" hidden="1" customHeight="1" outlineLevel="1">
      <c r="A491" s="932"/>
      <c r="B491" s="1086"/>
      <c r="C491" s="1095"/>
      <c r="D491" s="1091"/>
      <c r="E491" s="1091"/>
      <c r="F491" s="1093"/>
      <c r="G491" s="98"/>
      <c r="H491" s="93"/>
      <c r="I491" s="1091"/>
      <c r="J491" s="1084"/>
      <c r="K491" s="1084"/>
      <c r="L491" s="932"/>
    </row>
    <row r="492" spans="1:12" s="106" customFormat="1" ht="15.75" hidden="1" customHeight="1" outlineLevel="1">
      <c r="A492" s="932"/>
      <c r="B492" s="1087"/>
      <c r="C492" s="1096"/>
      <c r="D492" s="1092"/>
      <c r="E492" s="1092"/>
      <c r="F492" s="1094"/>
      <c r="G492" s="103"/>
      <c r="H492" s="101"/>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93"/>
      <c r="I493" s="1091"/>
      <c r="J493" s="1083"/>
      <c r="K493" s="1083"/>
      <c r="L493" s="932"/>
    </row>
    <row r="494" spans="1:12" s="106" customFormat="1" ht="15.75" hidden="1" customHeight="1" outlineLevel="1">
      <c r="A494" s="932"/>
      <c r="B494" s="1086"/>
      <c r="C494" s="1095"/>
      <c r="D494" s="1091"/>
      <c r="E494" s="1091"/>
      <c r="F494" s="1093"/>
      <c r="G494" s="98"/>
      <c r="H494" s="93"/>
      <c r="I494" s="1091"/>
      <c r="J494" s="1084"/>
      <c r="K494" s="1084"/>
      <c r="L494" s="932"/>
    </row>
    <row r="495" spans="1:12" s="106" customFormat="1" ht="15.75" hidden="1" customHeight="1" outlineLevel="1">
      <c r="A495" s="932"/>
      <c r="B495" s="1087"/>
      <c r="C495" s="1096"/>
      <c r="D495" s="1092"/>
      <c r="E495" s="1092"/>
      <c r="F495" s="1094"/>
      <c r="G495" s="103"/>
      <c r="H495" s="101"/>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93"/>
      <c r="I496" s="1091"/>
      <c r="J496" s="1083"/>
      <c r="K496" s="1083"/>
      <c r="L496" s="932"/>
    </row>
    <row r="497" spans="1:12" s="106" customFormat="1" ht="15.75" hidden="1" customHeight="1" outlineLevel="1">
      <c r="A497" s="932"/>
      <c r="B497" s="1086"/>
      <c r="C497" s="1095"/>
      <c r="D497" s="1091"/>
      <c r="E497" s="1091"/>
      <c r="F497" s="1093"/>
      <c r="G497" s="98"/>
      <c r="H497" s="93"/>
      <c r="I497" s="1091"/>
      <c r="J497" s="1084"/>
      <c r="K497" s="1084"/>
      <c r="L497" s="932"/>
    </row>
    <row r="498" spans="1:12" s="106" customFormat="1" ht="15.75" hidden="1" customHeight="1" outlineLevel="1">
      <c r="A498" s="932"/>
      <c r="B498" s="1087"/>
      <c r="C498" s="1096"/>
      <c r="D498" s="1092"/>
      <c r="E498" s="1092"/>
      <c r="F498" s="1094"/>
      <c r="G498" s="103"/>
      <c r="H498" s="101"/>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93"/>
      <c r="I499" s="1091"/>
      <c r="J499" s="1083"/>
      <c r="K499" s="1083"/>
      <c r="L499" s="932"/>
    </row>
    <row r="500" spans="1:12" s="106" customFormat="1" ht="15.75" hidden="1" customHeight="1" outlineLevel="1">
      <c r="A500" s="932"/>
      <c r="B500" s="1086"/>
      <c r="C500" s="1095"/>
      <c r="D500" s="1091"/>
      <c r="E500" s="1091"/>
      <c r="F500" s="1093"/>
      <c r="G500" s="98"/>
      <c r="H500" s="93"/>
      <c r="I500" s="1091"/>
      <c r="J500" s="1084"/>
      <c r="K500" s="1084"/>
      <c r="L500" s="932"/>
    </row>
    <row r="501" spans="1:12" s="106" customFormat="1" ht="15.75" hidden="1" customHeight="1" outlineLevel="1">
      <c r="A501" s="932"/>
      <c r="B501" s="1087"/>
      <c r="C501" s="1096"/>
      <c r="D501" s="1092"/>
      <c r="E501" s="1092"/>
      <c r="F501" s="1094"/>
      <c r="G501" s="103"/>
      <c r="H501" s="101"/>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93"/>
      <c r="I502" s="1091"/>
      <c r="J502" s="1083"/>
      <c r="K502" s="1083"/>
      <c r="L502" s="932"/>
    </row>
    <row r="503" spans="1:12" s="106" customFormat="1" ht="15.75" hidden="1" customHeight="1" outlineLevel="1">
      <c r="A503" s="932"/>
      <c r="B503" s="1086"/>
      <c r="C503" s="1095"/>
      <c r="D503" s="1091"/>
      <c r="E503" s="1091"/>
      <c r="F503" s="1093"/>
      <c r="G503" s="98"/>
      <c r="H503" s="93"/>
      <c r="I503" s="1091"/>
      <c r="J503" s="1084"/>
      <c r="K503" s="1084"/>
      <c r="L503" s="932"/>
    </row>
    <row r="504" spans="1:12" s="106" customFormat="1" ht="15.75" hidden="1" customHeight="1" outlineLevel="1">
      <c r="A504" s="932"/>
      <c r="B504" s="1087"/>
      <c r="C504" s="1096"/>
      <c r="D504" s="1092"/>
      <c r="E504" s="1092"/>
      <c r="F504" s="1094"/>
      <c r="G504" s="103"/>
      <c r="H504" s="101"/>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93"/>
      <c r="I505" s="1091"/>
      <c r="J505" s="1083"/>
      <c r="K505" s="1083"/>
      <c r="L505" s="932"/>
    </row>
    <row r="506" spans="1:12" s="106" customFormat="1" ht="15.75" hidden="1" customHeight="1" outlineLevel="1">
      <c r="A506" s="932"/>
      <c r="B506" s="1086"/>
      <c r="C506" s="1095"/>
      <c r="D506" s="1091"/>
      <c r="E506" s="1091"/>
      <c r="F506" s="1093"/>
      <c r="G506" s="98"/>
      <c r="H506" s="93"/>
      <c r="I506" s="1091"/>
      <c r="J506" s="1084"/>
      <c r="K506" s="1084"/>
      <c r="L506" s="932"/>
    </row>
    <row r="507" spans="1:12" s="106" customFormat="1" ht="15.75" hidden="1" customHeight="1" outlineLevel="1">
      <c r="A507" s="932"/>
      <c r="B507" s="1087"/>
      <c r="C507" s="1096"/>
      <c r="D507" s="1092"/>
      <c r="E507" s="1092"/>
      <c r="F507" s="1094"/>
      <c r="G507" s="103"/>
      <c r="H507" s="101"/>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93"/>
      <c r="I508" s="1091"/>
      <c r="J508" s="1083"/>
      <c r="K508" s="1083"/>
      <c r="L508" s="932"/>
    </row>
    <row r="509" spans="1:12" s="106" customFormat="1" ht="15.75" hidden="1" customHeight="1" outlineLevel="1">
      <c r="A509" s="932"/>
      <c r="B509" s="1086"/>
      <c r="C509" s="1095"/>
      <c r="D509" s="1091"/>
      <c r="E509" s="1091"/>
      <c r="F509" s="1093"/>
      <c r="G509" s="98"/>
      <c r="H509" s="93"/>
      <c r="I509" s="1091"/>
      <c r="J509" s="1084"/>
      <c r="K509" s="1084"/>
      <c r="L509" s="932"/>
    </row>
    <row r="510" spans="1:12" s="106" customFormat="1" ht="15.75" hidden="1" customHeight="1" outlineLevel="1">
      <c r="A510" s="932"/>
      <c r="B510" s="1087"/>
      <c r="C510" s="1096"/>
      <c r="D510" s="1092"/>
      <c r="E510" s="1092"/>
      <c r="F510" s="1094"/>
      <c r="G510" s="103"/>
      <c r="H510" s="101"/>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93"/>
      <c r="I511" s="1091"/>
      <c r="J511" s="1083"/>
      <c r="K511" s="1083"/>
      <c r="L511" s="932"/>
    </row>
    <row r="512" spans="1:12" s="106" customFormat="1" ht="15.75" hidden="1" customHeight="1" outlineLevel="1">
      <c r="A512" s="932"/>
      <c r="B512" s="1086"/>
      <c r="C512" s="1095"/>
      <c r="D512" s="1091"/>
      <c r="E512" s="1091"/>
      <c r="F512" s="1093"/>
      <c r="G512" s="98"/>
      <c r="H512" s="93"/>
      <c r="I512" s="1091"/>
      <c r="J512" s="1084"/>
      <c r="K512" s="1084"/>
      <c r="L512" s="932"/>
    </row>
    <row r="513" spans="1:12" s="106" customFormat="1" ht="15.75" hidden="1" customHeight="1" outlineLevel="1">
      <c r="A513" s="932"/>
      <c r="B513" s="1087"/>
      <c r="C513" s="1096"/>
      <c r="D513" s="1092"/>
      <c r="E513" s="1092"/>
      <c r="F513" s="1094"/>
      <c r="G513" s="103"/>
      <c r="H513" s="101"/>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93"/>
      <c r="I514" s="1091"/>
      <c r="J514" s="1083"/>
      <c r="K514" s="1083"/>
      <c r="L514" s="932"/>
    </row>
    <row r="515" spans="1:12" s="106" customFormat="1" ht="15.75" hidden="1" customHeight="1" outlineLevel="1">
      <c r="A515" s="932"/>
      <c r="B515" s="1086"/>
      <c r="C515" s="1095"/>
      <c r="D515" s="1091"/>
      <c r="E515" s="1091"/>
      <c r="F515" s="1093"/>
      <c r="G515" s="98"/>
      <c r="H515" s="93"/>
      <c r="I515" s="1091"/>
      <c r="J515" s="1084"/>
      <c r="K515" s="1084"/>
      <c r="L515" s="932"/>
    </row>
    <row r="516" spans="1:12" s="106" customFormat="1" ht="15.75" hidden="1" customHeight="1" outlineLevel="1">
      <c r="A516" s="932"/>
      <c r="B516" s="1087"/>
      <c r="C516" s="1096"/>
      <c r="D516" s="1092"/>
      <c r="E516" s="1092"/>
      <c r="F516" s="1094"/>
      <c r="G516" s="103"/>
      <c r="H516" s="101"/>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93"/>
      <c r="I517" s="1091"/>
      <c r="J517" s="1083"/>
      <c r="K517" s="1083"/>
      <c r="L517" s="932"/>
    </row>
    <row r="518" spans="1:12" s="106" customFormat="1" ht="15.75" hidden="1" customHeight="1" outlineLevel="1">
      <c r="A518" s="932"/>
      <c r="B518" s="1086"/>
      <c r="C518" s="1095"/>
      <c r="D518" s="1091"/>
      <c r="E518" s="1091"/>
      <c r="F518" s="1093"/>
      <c r="G518" s="98"/>
      <c r="H518" s="93"/>
      <c r="I518" s="1091"/>
      <c r="J518" s="1084"/>
      <c r="K518" s="1084"/>
      <c r="L518" s="932"/>
    </row>
    <row r="519" spans="1:12" s="106" customFormat="1" ht="15.75" hidden="1" customHeight="1" outlineLevel="1">
      <c r="A519" s="932"/>
      <c r="B519" s="1087"/>
      <c r="C519" s="1096"/>
      <c r="D519" s="1092"/>
      <c r="E519" s="1092"/>
      <c r="F519" s="1094"/>
      <c r="G519" s="103"/>
      <c r="H519" s="101"/>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93"/>
      <c r="I520" s="1091"/>
      <c r="J520" s="1083"/>
      <c r="K520" s="1083"/>
      <c r="L520" s="932"/>
    </row>
    <row r="521" spans="1:12" s="106" customFormat="1" ht="15.75" hidden="1" customHeight="1" outlineLevel="1">
      <c r="A521" s="932"/>
      <c r="B521" s="1086"/>
      <c r="C521" s="1095"/>
      <c r="D521" s="1091"/>
      <c r="E521" s="1091"/>
      <c r="F521" s="1093"/>
      <c r="G521" s="98"/>
      <c r="H521" s="93"/>
      <c r="I521" s="1091"/>
      <c r="J521" s="1084"/>
      <c r="K521" s="1084"/>
      <c r="L521" s="932"/>
    </row>
    <row r="522" spans="1:12" s="106" customFormat="1" ht="15.75" hidden="1" customHeight="1" outlineLevel="1">
      <c r="A522" s="932"/>
      <c r="B522" s="1087"/>
      <c r="C522" s="1096"/>
      <c r="D522" s="1092"/>
      <c r="E522" s="1092"/>
      <c r="F522" s="1094"/>
      <c r="G522" s="103"/>
      <c r="H522" s="101"/>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93"/>
      <c r="I523" s="1091"/>
      <c r="J523" s="1083"/>
      <c r="K523" s="1083"/>
      <c r="L523" s="932"/>
    </row>
    <row r="524" spans="1:12" s="106" customFormat="1" ht="15.75" hidden="1" customHeight="1" outlineLevel="1">
      <c r="A524" s="932"/>
      <c r="B524" s="1086"/>
      <c r="C524" s="1095"/>
      <c r="D524" s="1091"/>
      <c r="E524" s="1091"/>
      <c r="F524" s="1093"/>
      <c r="G524" s="98"/>
      <c r="H524" s="93"/>
      <c r="I524" s="1091"/>
      <c r="J524" s="1084"/>
      <c r="K524" s="1084"/>
      <c r="L524" s="932"/>
    </row>
    <row r="525" spans="1:12" s="106" customFormat="1" ht="15.75" hidden="1" customHeight="1" outlineLevel="1">
      <c r="A525" s="932"/>
      <c r="B525" s="1087"/>
      <c r="C525" s="1096"/>
      <c r="D525" s="1092"/>
      <c r="E525" s="1092"/>
      <c r="F525" s="1094"/>
      <c r="G525" s="103"/>
      <c r="H525" s="101"/>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93"/>
      <c r="I526" s="1091"/>
      <c r="J526" s="1083"/>
      <c r="K526" s="1083"/>
      <c r="L526" s="932"/>
    </row>
    <row r="527" spans="1:12" s="106" customFormat="1" ht="15.75" hidden="1" customHeight="1" outlineLevel="1">
      <c r="A527" s="932"/>
      <c r="B527" s="1086"/>
      <c r="C527" s="1095"/>
      <c r="D527" s="1091"/>
      <c r="E527" s="1091"/>
      <c r="F527" s="1093"/>
      <c r="G527" s="98"/>
      <c r="H527" s="93"/>
      <c r="I527" s="1091"/>
      <c r="J527" s="1084"/>
      <c r="K527" s="1084"/>
      <c r="L527" s="932"/>
    </row>
    <row r="528" spans="1:12" s="106" customFormat="1" ht="15.75" hidden="1" customHeight="1" outlineLevel="1">
      <c r="A528" s="932"/>
      <c r="B528" s="1087"/>
      <c r="C528" s="1096"/>
      <c r="D528" s="1092"/>
      <c r="E528" s="1092"/>
      <c r="F528" s="1094"/>
      <c r="G528" s="103"/>
      <c r="H528" s="101"/>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93"/>
      <c r="I529" s="1091"/>
      <c r="J529" s="1083"/>
      <c r="K529" s="1083"/>
      <c r="L529" s="932"/>
    </row>
    <row r="530" spans="1:12" s="106" customFormat="1" ht="15.75" hidden="1" customHeight="1" outlineLevel="1">
      <c r="A530" s="932"/>
      <c r="B530" s="1086"/>
      <c r="C530" s="1095"/>
      <c r="D530" s="1091"/>
      <c r="E530" s="1091"/>
      <c r="F530" s="1093"/>
      <c r="G530" s="98"/>
      <c r="H530" s="93"/>
      <c r="I530" s="1091"/>
      <c r="J530" s="1084"/>
      <c r="K530" s="1084"/>
      <c r="L530" s="932"/>
    </row>
    <row r="531" spans="1:12" s="106" customFormat="1" ht="15.75" hidden="1" customHeight="1" outlineLevel="1">
      <c r="A531" s="932"/>
      <c r="B531" s="1087"/>
      <c r="C531" s="1096"/>
      <c r="D531" s="1092"/>
      <c r="E531" s="1092"/>
      <c r="F531" s="1094"/>
      <c r="G531" s="103"/>
      <c r="H531" s="101"/>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93"/>
      <c r="I532" s="1091"/>
      <c r="J532" s="1083"/>
      <c r="K532" s="1083"/>
      <c r="L532" s="932"/>
    </row>
    <row r="533" spans="1:12" s="106" customFormat="1" ht="15.75" hidden="1" customHeight="1" outlineLevel="1">
      <c r="A533" s="932"/>
      <c r="B533" s="1086"/>
      <c r="C533" s="1095"/>
      <c r="D533" s="1091"/>
      <c r="E533" s="1091"/>
      <c r="F533" s="1093"/>
      <c r="G533" s="98"/>
      <c r="H533" s="93"/>
      <c r="I533" s="1091"/>
      <c r="J533" s="1084"/>
      <c r="K533" s="1084"/>
      <c r="L533" s="932"/>
    </row>
    <row r="534" spans="1:12" s="106" customFormat="1" ht="15.75" hidden="1" customHeight="1" outlineLevel="1">
      <c r="A534" s="932"/>
      <c r="B534" s="1087"/>
      <c r="C534" s="1096"/>
      <c r="D534" s="1092"/>
      <c r="E534" s="1092"/>
      <c r="F534" s="1094"/>
      <c r="G534" s="103"/>
      <c r="H534" s="101"/>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93"/>
      <c r="I535" s="1091"/>
      <c r="J535" s="1083"/>
      <c r="K535" s="1083"/>
      <c r="L535" s="932"/>
    </row>
    <row r="536" spans="1:12" s="106" customFormat="1" ht="15.75" hidden="1" customHeight="1" outlineLevel="1">
      <c r="A536" s="932"/>
      <c r="B536" s="1086"/>
      <c r="C536" s="1095"/>
      <c r="D536" s="1091"/>
      <c r="E536" s="1091"/>
      <c r="F536" s="1093"/>
      <c r="G536" s="98"/>
      <c r="H536" s="93"/>
      <c r="I536" s="1091"/>
      <c r="J536" s="1084"/>
      <c r="K536" s="1084"/>
      <c r="L536" s="932"/>
    </row>
    <row r="537" spans="1:12" s="106" customFormat="1" ht="15.75" hidden="1" customHeight="1" outlineLevel="1">
      <c r="A537" s="932"/>
      <c r="B537" s="1087"/>
      <c r="C537" s="1096"/>
      <c r="D537" s="1092"/>
      <c r="E537" s="1092"/>
      <c r="F537" s="1094"/>
      <c r="G537" s="103"/>
      <c r="H537" s="101"/>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93"/>
      <c r="I538" s="1091"/>
      <c r="J538" s="1083"/>
      <c r="K538" s="1083"/>
      <c r="L538" s="932"/>
    </row>
    <row r="539" spans="1:12" s="106" customFormat="1" ht="15.75" hidden="1" customHeight="1" outlineLevel="1">
      <c r="A539" s="932"/>
      <c r="B539" s="1086"/>
      <c r="C539" s="1095"/>
      <c r="D539" s="1091"/>
      <c r="E539" s="1091"/>
      <c r="F539" s="1093"/>
      <c r="G539" s="98"/>
      <c r="H539" s="93"/>
      <c r="I539" s="1091"/>
      <c r="J539" s="1084"/>
      <c r="K539" s="1084"/>
      <c r="L539" s="932"/>
    </row>
    <row r="540" spans="1:12" s="106" customFormat="1" ht="15.75" hidden="1" customHeight="1" outlineLevel="1">
      <c r="A540" s="932"/>
      <c r="B540" s="1087"/>
      <c r="C540" s="1096"/>
      <c r="D540" s="1092"/>
      <c r="E540" s="1092"/>
      <c r="F540" s="1094"/>
      <c r="G540" s="103"/>
      <c r="H540" s="101"/>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93"/>
      <c r="I541" s="1091"/>
      <c r="J541" s="1083"/>
      <c r="K541" s="1083"/>
      <c r="L541" s="932"/>
    </row>
    <row r="542" spans="1:12" s="106" customFormat="1" ht="15.75" hidden="1" customHeight="1" outlineLevel="1">
      <c r="A542" s="932"/>
      <c r="B542" s="1086"/>
      <c r="C542" s="1095"/>
      <c r="D542" s="1091"/>
      <c r="E542" s="1091"/>
      <c r="F542" s="1093"/>
      <c r="G542" s="98"/>
      <c r="H542" s="93"/>
      <c r="I542" s="1091"/>
      <c r="J542" s="1084"/>
      <c r="K542" s="1084"/>
      <c r="L542" s="932"/>
    </row>
    <row r="543" spans="1:12" s="106" customFormat="1" ht="15.75" hidden="1" customHeight="1" outlineLevel="1">
      <c r="A543" s="932"/>
      <c r="B543" s="1087"/>
      <c r="C543" s="1096"/>
      <c r="D543" s="1092"/>
      <c r="E543" s="1092"/>
      <c r="F543" s="1094"/>
      <c r="G543" s="103"/>
      <c r="H543" s="101"/>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93"/>
      <c r="I544" s="1091"/>
      <c r="J544" s="1083"/>
      <c r="K544" s="1083"/>
      <c r="L544" s="932"/>
    </row>
    <row r="545" spans="1:12" s="106" customFormat="1" ht="15.75" hidden="1" customHeight="1" outlineLevel="1">
      <c r="A545" s="932"/>
      <c r="B545" s="1086"/>
      <c r="C545" s="1095"/>
      <c r="D545" s="1091"/>
      <c r="E545" s="1091"/>
      <c r="F545" s="1093"/>
      <c r="G545" s="98"/>
      <c r="H545" s="93"/>
      <c r="I545" s="1091"/>
      <c r="J545" s="1084"/>
      <c r="K545" s="1084"/>
      <c r="L545" s="932"/>
    </row>
    <row r="546" spans="1:12" s="106" customFormat="1" ht="15.75" hidden="1" customHeight="1" outlineLevel="1">
      <c r="A546" s="932"/>
      <c r="B546" s="1087"/>
      <c r="C546" s="1096"/>
      <c r="D546" s="1092"/>
      <c r="E546" s="1092"/>
      <c r="F546" s="1094"/>
      <c r="G546" s="103"/>
      <c r="H546" s="101"/>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93"/>
      <c r="I547" s="1091"/>
      <c r="J547" s="1083"/>
      <c r="K547" s="1083"/>
      <c r="L547" s="932"/>
    </row>
    <row r="548" spans="1:12" s="106" customFormat="1" ht="15.75" hidden="1" customHeight="1" outlineLevel="1">
      <c r="A548" s="932"/>
      <c r="B548" s="1086"/>
      <c r="C548" s="1095"/>
      <c r="D548" s="1091"/>
      <c r="E548" s="1091"/>
      <c r="F548" s="1093"/>
      <c r="G548" s="98"/>
      <c r="H548" s="93"/>
      <c r="I548" s="1091"/>
      <c r="J548" s="1084"/>
      <c r="K548" s="1084"/>
      <c r="L548" s="932"/>
    </row>
    <row r="549" spans="1:12" s="106" customFormat="1" ht="15.75" hidden="1" customHeight="1" outlineLevel="1">
      <c r="A549" s="932"/>
      <c r="B549" s="1087"/>
      <c r="C549" s="1096"/>
      <c r="D549" s="1092"/>
      <c r="E549" s="1092"/>
      <c r="F549" s="1094"/>
      <c r="G549" s="103"/>
      <c r="H549" s="101"/>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93"/>
      <c r="I550" s="1091"/>
      <c r="J550" s="1083"/>
      <c r="K550" s="1083"/>
      <c r="L550" s="932"/>
    </row>
    <row r="551" spans="1:12" s="106" customFormat="1" ht="15.75" hidden="1" customHeight="1" outlineLevel="1">
      <c r="A551" s="932"/>
      <c r="B551" s="1086"/>
      <c r="C551" s="1095"/>
      <c r="D551" s="1091"/>
      <c r="E551" s="1091"/>
      <c r="F551" s="1093"/>
      <c r="G551" s="98"/>
      <c r="H551" s="93"/>
      <c r="I551" s="1091"/>
      <c r="J551" s="1084"/>
      <c r="K551" s="1084"/>
      <c r="L551" s="932"/>
    </row>
    <row r="552" spans="1:12" s="106" customFormat="1" ht="15.75" hidden="1" customHeight="1" outlineLevel="1">
      <c r="A552" s="932"/>
      <c r="B552" s="1087"/>
      <c r="C552" s="1096"/>
      <c r="D552" s="1092"/>
      <c r="E552" s="1092"/>
      <c r="F552" s="1094"/>
      <c r="G552" s="103"/>
      <c r="H552" s="101"/>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93"/>
      <c r="I553" s="1091"/>
      <c r="J553" s="1083"/>
      <c r="K553" s="1083"/>
      <c r="L553" s="932"/>
    </row>
    <row r="554" spans="1:12" s="106" customFormat="1" ht="15.75" hidden="1" customHeight="1" outlineLevel="1">
      <c r="A554" s="932"/>
      <c r="B554" s="1086"/>
      <c r="C554" s="1095"/>
      <c r="D554" s="1091"/>
      <c r="E554" s="1091"/>
      <c r="F554" s="1093"/>
      <c r="G554" s="98"/>
      <c r="H554" s="93"/>
      <c r="I554" s="1091"/>
      <c r="J554" s="1084"/>
      <c r="K554" s="1084"/>
      <c r="L554" s="932"/>
    </row>
    <row r="555" spans="1:12" s="106" customFormat="1" ht="15.75" hidden="1" customHeight="1" outlineLevel="1">
      <c r="A555" s="932"/>
      <c r="B555" s="1087"/>
      <c r="C555" s="1096"/>
      <c r="D555" s="1092"/>
      <c r="E555" s="1092"/>
      <c r="F555" s="1094"/>
      <c r="G555" s="103"/>
      <c r="H555" s="101"/>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93"/>
      <c r="I556" s="1091"/>
      <c r="J556" s="1083"/>
      <c r="K556" s="1083"/>
      <c r="L556" s="932"/>
    </row>
    <row r="557" spans="1:12" s="106" customFormat="1" ht="15.75" hidden="1" customHeight="1" outlineLevel="1">
      <c r="A557" s="932"/>
      <c r="B557" s="1086"/>
      <c r="C557" s="1095"/>
      <c r="D557" s="1091"/>
      <c r="E557" s="1091"/>
      <c r="F557" s="1093"/>
      <c r="G557" s="98"/>
      <c r="H557" s="93"/>
      <c r="I557" s="1091"/>
      <c r="J557" s="1084"/>
      <c r="K557" s="1084"/>
      <c r="L557" s="932"/>
    </row>
    <row r="558" spans="1:12" s="106" customFormat="1" ht="15.75" hidden="1" customHeight="1" outlineLevel="1">
      <c r="A558" s="932"/>
      <c r="B558" s="1087"/>
      <c r="C558" s="1096"/>
      <c r="D558" s="1092"/>
      <c r="E558" s="1092"/>
      <c r="F558" s="1094"/>
      <c r="G558" s="103"/>
      <c r="H558" s="101"/>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93"/>
      <c r="I559" s="1091"/>
      <c r="J559" s="1083"/>
      <c r="K559" s="1083"/>
      <c r="L559" s="932"/>
    </row>
    <row r="560" spans="1:12" s="106" customFormat="1" ht="15.75" hidden="1" customHeight="1" outlineLevel="1">
      <c r="A560" s="932"/>
      <c r="B560" s="1086"/>
      <c r="C560" s="1095"/>
      <c r="D560" s="1091"/>
      <c r="E560" s="1091"/>
      <c r="F560" s="1093"/>
      <c r="G560" s="98"/>
      <c r="H560" s="93"/>
      <c r="I560" s="1091"/>
      <c r="J560" s="1084"/>
      <c r="K560" s="1084"/>
      <c r="L560" s="932"/>
    </row>
    <row r="561" spans="1:12" s="106" customFormat="1" ht="15.75" hidden="1" customHeight="1" outlineLevel="1">
      <c r="A561" s="932"/>
      <c r="B561" s="1087"/>
      <c r="C561" s="1096"/>
      <c r="D561" s="1092"/>
      <c r="E561" s="1092"/>
      <c r="F561" s="1094"/>
      <c r="G561" s="103"/>
      <c r="H561" s="101"/>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93"/>
      <c r="I562" s="1091"/>
      <c r="J562" s="1083"/>
      <c r="K562" s="1083"/>
      <c r="L562" s="932"/>
    </row>
    <row r="563" spans="1:12" s="106" customFormat="1" ht="15.75" hidden="1" customHeight="1" outlineLevel="1">
      <c r="A563" s="932"/>
      <c r="B563" s="1086"/>
      <c r="C563" s="1095"/>
      <c r="D563" s="1091"/>
      <c r="E563" s="1091"/>
      <c r="F563" s="1093"/>
      <c r="G563" s="98"/>
      <c r="H563" s="93"/>
      <c r="I563" s="1091"/>
      <c r="J563" s="1084"/>
      <c r="K563" s="1084"/>
      <c r="L563" s="932"/>
    </row>
    <row r="564" spans="1:12" s="106" customFormat="1" ht="15.75" hidden="1" customHeight="1" outlineLevel="1">
      <c r="A564" s="932"/>
      <c r="B564" s="1087"/>
      <c r="C564" s="1096"/>
      <c r="D564" s="1092"/>
      <c r="E564" s="1092"/>
      <c r="F564" s="1094"/>
      <c r="G564" s="103"/>
      <c r="H564" s="101"/>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93"/>
      <c r="I565" s="1091"/>
      <c r="J565" s="1083"/>
      <c r="K565" s="1083"/>
      <c r="L565" s="932"/>
    </row>
    <row r="566" spans="1:12" s="106" customFormat="1" ht="15.75" hidden="1" customHeight="1" outlineLevel="1">
      <c r="A566" s="932"/>
      <c r="B566" s="1086"/>
      <c r="C566" s="1095"/>
      <c r="D566" s="1091"/>
      <c r="E566" s="1091"/>
      <c r="F566" s="1093"/>
      <c r="G566" s="98"/>
      <c r="H566" s="93"/>
      <c r="I566" s="1091"/>
      <c r="J566" s="1084"/>
      <c r="K566" s="1084"/>
      <c r="L566" s="932"/>
    </row>
    <row r="567" spans="1:12" s="106" customFormat="1" ht="15.75" hidden="1" customHeight="1" outlineLevel="1">
      <c r="A567" s="932"/>
      <c r="B567" s="1087"/>
      <c r="C567" s="1096"/>
      <c r="D567" s="1092"/>
      <c r="E567" s="1092"/>
      <c r="F567" s="1094"/>
      <c r="G567" s="103"/>
      <c r="H567" s="101"/>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93"/>
      <c r="I568" s="1091"/>
      <c r="J568" s="1083"/>
      <c r="K568" s="1083"/>
      <c r="L568" s="932"/>
    </row>
    <row r="569" spans="1:12" s="106" customFormat="1" ht="15.75" hidden="1" customHeight="1" outlineLevel="1">
      <c r="A569" s="932"/>
      <c r="B569" s="1086"/>
      <c r="C569" s="1095"/>
      <c r="D569" s="1091"/>
      <c r="E569" s="1091"/>
      <c r="F569" s="1093"/>
      <c r="G569" s="98"/>
      <c r="H569" s="93"/>
      <c r="I569" s="1091"/>
      <c r="J569" s="1084"/>
      <c r="K569" s="1084"/>
      <c r="L569" s="932"/>
    </row>
    <row r="570" spans="1:12" s="106" customFormat="1" ht="15.75" hidden="1" customHeight="1" outlineLevel="1">
      <c r="A570" s="932"/>
      <c r="B570" s="1087"/>
      <c r="C570" s="1096"/>
      <c r="D570" s="1092"/>
      <c r="E570" s="1092"/>
      <c r="F570" s="1094"/>
      <c r="G570" s="103"/>
      <c r="H570" s="101"/>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93"/>
      <c r="I571" s="1091"/>
      <c r="J571" s="1083"/>
      <c r="K571" s="1083"/>
      <c r="L571" s="932"/>
    </row>
    <row r="572" spans="1:12" s="106" customFormat="1" ht="15.75" hidden="1" customHeight="1" outlineLevel="1">
      <c r="A572" s="932"/>
      <c r="B572" s="1086"/>
      <c r="C572" s="1095"/>
      <c r="D572" s="1091"/>
      <c r="E572" s="1091"/>
      <c r="F572" s="1093"/>
      <c r="G572" s="98"/>
      <c r="H572" s="93"/>
      <c r="I572" s="1091"/>
      <c r="J572" s="1084"/>
      <c r="K572" s="1084"/>
      <c r="L572" s="932"/>
    </row>
    <row r="573" spans="1:12" s="106" customFormat="1" ht="15.75" hidden="1" customHeight="1" outlineLevel="1">
      <c r="A573" s="932"/>
      <c r="B573" s="1087"/>
      <c r="C573" s="1096"/>
      <c r="D573" s="1092"/>
      <c r="E573" s="1092"/>
      <c r="F573" s="1094"/>
      <c r="G573" s="103"/>
      <c r="H573" s="101"/>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93"/>
      <c r="I574" s="1091"/>
      <c r="J574" s="1083"/>
      <c r="K574" s="1083"/>
      <c r="L574" s="932"/>
    </row>
    <row r="575" spans="1:12" s="106" customFormat="1" ht="15.75" hidden="1" customHeight="1" outlineLevel="1">
      <c r="A575" s="932"/>
      <c r="B575" s="1086"/>
      <c r="C575" s="1095"/>
      <c r="D575" s="1091"/>
      <c r="E575" s="1091"/>
      <c r="F575" s="1093"/>
      <c r="G575" s="98"/>
      <c r="H575" s="93"/>
      <c r="I575" s="1091"/>
      <c r="J575" s="1084"/>
      <c r="K575" s="1084"/>
      <c r="L575" s="932"/>
    </row>
    <row r="576" spans="1:12" s="106" customFormat="1" ht="15.75" hidden="1" customHeight="1" outlineLevel="1">
      <c r="A576" s="932"/>
      <c r="B576" s="1087"/>
      <c r="C576" s="1096"/>
      <c r="D576" s="1092"/>
      <c r="E576" s="1092"/>
      <c r="F576" s="1094"/>
      <c r="G576" s="103"/>
      <c r="H576" s="101"/>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93"/>
      <c r="I577" s="1091"/>
      <c r="J577" s="1083"/>
      <c r="K577" s="1083"/>
      <c r="L577" s="932"/>
    </row>
    <row r="578" spans="1:12" s="106" customFormat="1" ht="15.75" hidden="1" customHeight="1" outlineLevel="1">
      <c r="A578" s="932"/>
      <c r="B578" s="1086"/>
      <c r="C578" s="1095"/>
      <c r="D578" s="1091"/>
      <c r="E578" s="1091"/>
      <c r="F578" s="1093"/>
      <c r="G578" s="98"/>
      <c r="H578" s="93"/>
      <c r="I578" s="1091"/>
      <c r="J578" s="1084"/>
      <c r="K578" s="1084"/>
      <c r="L578" s="932"/>
    </row>
    <row r="579" spans="1:12" s="106" customFormat="1" ht="15.75" hidden="1" customHeight="1" outlineLevel="1">
      <c r="A579" s="932"/>
      <c r="B579" s="1087"/>
      <c r="C579" s="1096"/>
      <c r="D579" s="1092"/>
      <c r="E579" s="1092"/>
      <c r="F579" s="1094"/>
      <c r="G579" s="103"/>
      <c r="H579" s="101"/>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93"/>
      <c r="I580" s="1091"/>
      <c r="J580" s="1083"/>
      <c r="K580" s="1083"/>
      <c r="L580" s="932"/>
    </row>
    <row r="581" spans="1:12" s="106" customFormat="1" ht="15.75" hidden="1" customHeight="1" outlineLevel="1">
      <c r="A581" s="932"/>
      <c r="B581" s="1086"/>
      <c r="C581" s="1095"/>
      <c r="D581" s="1091"/>
      <c r="E581" s="1091"/>
      <c r="F581" s="1093"/>
      <c r="G581" s="98"/>
      <c r="H581" s="93"/>
      <c r="I581" s="1091"/>
      <c r="J581" s="1084"/>
      <c r="K581" s="1084"/>
      <c r="L581" s="932"/>
    </row>
    <row r="582" spans="1:12" s="106" customFormat="1" ht="15.75" hidden="1" customHeight="1" outlineLevel="1">
      <c r="A582" s="932"/>
      <c r="B582" s="1087"/>
      <c r="C582" s="1096"/>
      <c r="D582" s="1092"/>
      <c r="E582" s="1092"/>
      <c r="F582" s="1094"/>
      <c r="G582" s="103"/>
      <c r="H582" s="101"/>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93"/>
      <c r="I583" s="1091"/>
      <c r="J583" s="1083"/>
      <c r="K583" s="1083"/>
      <c r="L583" s="932"/>
    </row>
    <row r="584" spans="1:12" s="106" customFormat="1" ht="15.75" hidden="1" customHeight="1" outlineLevel="1">
      <c r="A584" s="932"/>
      <c r="B584" s="1086"/>
      <c r="C584" s="1095"/>
      <c r="D584" s="1091"/>
      <c r="E584" s="1091"/>
      <c r="F584" s="1093"/>
      <c r="G584" s="98"/>
      <c r="H584" s="93"/>
      <c r="I584" s="1091"/>
      <c r="J584" s="1084"/>
      <c r="K584" s="1084"/>
      <c r="L584" s="932"/>
    </row>
    <row r="585" spans="1:12" s="106" customFormat="1" ht="15.75" hidden="1" customHeight="1" outlineLevel="1">
      <c r="A585" s="932"/>
      <c r="B585" s="1087"/>
      <c r="C585" s="1096"/>
      <c r="D585" s="1092"/>
      <c r="E585" s="1092"/>
      <c r="F585" s="1094"/>
      <c r="G585" s="103"/>
      <c r="H585" s="101"/>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93"/>
      <c r="I586" s="1091"/>
      <c r="J586" s="1083"/>
      <c r="K586" s="1083"/>
      <c r="L586" s="932"/>
    </row>
    <row r="587" spans="1:12" s="106" customFormat="1" ht="15.75" hidden="1" customHeight="1" outlineLevel="1">
      <c r="A587" s="932"/>
      <c r="B587" s="1086"/>
      <c r="C587" s="1095"/>
      <c r="D587" s="1091"/>
      <c r="E587" s="1091"/>
      <c r="F587" s="1093"/>
      <c r="G587" s="98"/>
      <c r="H587" s="93"/>
      <c r="I587" s="1091"/>
      <c r="J587" s="1084"/>
      <c r="K587" s="1084"/>
      <c r="L587" s="932"/>
    </row>
    <row r="588" spans="1:12" s="106" customFormat="1" ht="15.75" hidden="1" customHeight="1" outlineLevel="1">
      <c r="A588" s="932"/>
      <c r="B588" s="1087"/>
      <c r="C588" s="1096"/>
      <c r="D588" s="1092"/>
      <c r="E588" s="1092"/>
      <c r="F588" s="1094"/>
      <c r="G588" s="103"/>
      <c r="H588" s="101"/>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93"/>
      <c r="I589" s="1091"/>
      <c r="J589" s="1083"/>
      <c r="K589" s="1083"/>
      <c r="L589" s="932"/>
    </row>
    <row r="590" spans="1:12" s="106" customFormat="1" ht="15.75" hidden="1" customHeight="1" outlineLevel="1">
      <c r="A590" s="932"/>
      <c r="B590" s="1086"/>
      <c r="C590" s="1095"/>
      <c r="D590" s="1091"/>
      <c r="E590" s="1091"/>
      <c r="F590" s="1093"/>
      <c r="G590" s="98"/>
      <c r="H590" s="93"/>
      <c r="I590" s="1091"/>
      <c r="J590" s="1084"/>
      <c r="K590" s="1084"/>
      <c r="L590" s="932"/>
    </row>
    <row r="591" spans="1:12" s="106" customFormat="1" ht="15.75" hidden="1" customHeight="1" outlineLevel="1">
      <c r="A591" s="932"/>
      <c r="B591" s="1087"/>
      <c r="C591" s="1096"/>
      <c r="D591" s="1092"/>
      <c r="E591" s="1092"/>
      <c r="F591" s="1094"/>
      <c r="G591" s="103"/>
      <c r="H591" s="101"/>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93"/>
      <c r="I592" s="1091"/>
      <c r="J592" s="1083"/>
      <c r="K592" s="1083"/>
      <c r="L592" s="932"/>
    </row>
    <row r="593" spans="1:12" s="106" customFormat="1" ht="15.75" hidden="1" customHeight="1" outlineLevel="1">
      <c r="A593" s="932"/>
      <c r="B593" s="1086"/>
      <c r="C593" s="1095"/>
      <c r="D593" s="1091"/>
      <c r="E593" s="1091"/>
      <c r="F593" s="1093"/>
      <c r="G593" s="98"/>
      <c r="H593" s="93"/>
      <c r="I593" s="1091"/>
      <c r="J593" s="1084"/>
      <c r="K593" s="1084"/>
      <c r="L593" s="932"/>
    </row>
    <row r="594" spans="1:12" s="106" customFormat="1" ht="15.75" hidden="1" customHeight="1" outlineLevel="1">
      <c r="A594" s="932"/>
      <c r="B594" s="1087"/>
      <c r="C594" s="1096"/>
      <c r="D594" s="1092"/>
      <c r="E594" s="1092"/>
      <c r="F594" s="1094"/>
      <c r="G594" s="103"/>
      <c r="H594" s="101"/>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93"/>
      <c r="I595" s="1091"/>
      <c r="J595" s="1083"/>
      <c r="K595" s="1083"/>
      <c r="L595" s="932"/>
    </row>
    <row r="596" spans="1:12" s="106" customFormat="1" ht="15.75" hidden="1" customHeight="1" outlineLevel="1">
      <c r="A596" s="932"/>
      <c r="B596" s="1086"/>
      <c r="C596" s="1095"/>
      <c r="D596" s="1091"/>
      <c r="E596" s="1091"/>
      <c r="F596" s="1093"/>
      <c r="G596" s="98"/>
      <c r="H596" s="93"/>
      <c r="I596" s="1091"/>
      <c r="J596" s="1084"/>
      <c r="K596" s="1084"/>
      <c r="L596" s="932"/>
    </row>
    <row r="597" spans="1:12" s="106" customFormat="1" ht="15.75" hidden="1" customHeight="1" outlineLevel="1">
      <c r="A597" s="932"/>
      <c r="B597" s="1087"/>
      <c r="C597" s="1096"/>
      <c r="D597" s="1092"/>
      <c r="E597" s="1092"/>
      <c r="F597" s="1094"/>
      <c r="G597" s="103"/>
      <c r="H597" s="101"/>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93"/>
      <c r="I598" s="1091"/>
      <c r="J598" s="1083"/>
      <c r="K598" s="1083"/>
      <c r="L598" s="932"/>
    </row>
    <row r="599" spans="1:12" s="106" customFormat="1" ht="15.75" hidden="1" customHeight="1" outlineLevel="1">
      <c r="A599" s="932"/>
      <c r="B599" s="1086"/>
      <c r="C599" s="1095"/>
      <c r="D599" s="1091"/>
      <c r="E599" s="1091"/>
      <c r="F599" s="1093"/>
      <c r="G599" s="98"/>
      <c r="H599" s="93"/>
      <c r="I599" s="1091"/>
      <c r="J599" s="1084"/>
      <c r="K599" s="1084"/>
      <c r="L599" s="932"/>
    </row>
    <row r="600" spans="1:12" s="106" customFormat="1" ht="15.75" hidden="1" customHeight="1" outlineLevel="1">
      <c r="A600" s="932"/>
      <c r="B600" s="1087"/>
      <c r="C600" s="1096"/>
      <c r="D600" s="1092"/>
      <c r="E600" s="1092"/>
      <c r="F600" s="1094"/>
      <c r="G600" s="103"/>
      <c r="H600" s="101"/>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93"/>
      <c r="I601" s="1091"/>
      <c r="J601" s="1083"/>
      <c r="K601" s="1083"/>
      <c r="L601" s="932"/>
    </row>
    <row r="602" spans="1:12" s="106" customFormat="1" ht="15.75" hidden="1" customHeight="1" outlineLevel="1">
      <c r="A602" s="932"/>
      <c r="B602" s="1086"/>
      <c r="C602" s="1095"/>
      <c r="D602" s="1091"/>
      <c r="E602" s="1091"/>
      <c r="F602" s="1093"/>
      <c r="G602" s="98"/>
      <c r="H602" s="93"/>
      <c r="I602" s="1091"/>
      <c r="J602" s="1084"/>
      <c r="K602" s="1084"/>
      <c r="L602" s="932"/>
    </row>
    <row r="603" spans="1:12" s="106" customFormat="1" ht="15.75" hidden="1" customHeight="1" outlineLevel="1">
      <c r="A603" s="932"/>
      <c r="B603" s="1087"/>
      <c r="C603" s="1096"/>
      <c r="D603" s="1092"/>
      <c r="E603" s="1092"/>
      <c r="F603" s="1094"/>
      <c r="G603" s="103"/>
      <c r="H603" s="101"/>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93"/>
      <c r="I604" s="1091"/>
      <c r="J604" s="1083"/>
      <c r="K604" s="1083"/>
      <c r="L604" s="932"/>
    </row>
    <row r="605" spans="1:12" s="106" customFormat="1" ht="15.75" hidden="1" customHeight="1" outlineLevel="1">
      <c r="A605" s="932"/>
      <c r="B605" s="1086"/>
      <c r="C605" s="1095"/>
      <c r="D605" s="1091"/>
      <c r="E605" s="1091"/>
      <c r="F605" s="1093"/>
      <c r="G605" s="98"/>
      <c r="H605" s="93"/>
      <c r="I605" s="1091"/>
      <c r="J605" s="1084"/>
      <c r="K605" s="1084"/>
      <c r="L605" s="932"/>
    </row>
    <row r="606" spans="1:12" s="106" customFormat="1" ht="15.75" hidden="1" customHeight="1" outlineLevel="1">
      <c r="A606" s="932"/>
      <c r="B606" s="1087"/>
      <c r="C606" s="1096"/>
      <c r="D606" s="1092"/>
      <c r="E606" s="1092"/>
      <c r="F606" s="1094"/>
      <c r="G606" s="103"/>
      <c r="H606" s="101"/>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93"/>
      <c r="I607" s="1091"/>
      <c r="J607" s="1083"/>
      <c r="K607" s="1083"/>
      <c r="L607" s="932"/>
    </row>
    <row r="608" spans="1:12" s="106" customFormat="1" ht="15.75" hidden="1" customHeight="1" outlineLevel="1">
      <c r="A608" s="932"/>
      <c r="B608" s="1086"/>
      <c r="C608" s="1095"/>
      <c r="D608" s="1091"/>
      <c r="E608" s="1091"/>
      <c r="F608" s="1093"/>
      <c r="G608" s="98"/>
      <c r="H608" s="93"/>
      <c r="I608" s="1091"/>
      <c r="J608" s="1084"/>
      <c r="K608" s="1084"/>
      <c r="L608" s="932"/>
    </row>
    <row r="609" spans="1:12" s="106" customFormat="1" ht="15.75" hidden="1" customHeight="1" outlineLevel="1">
      <c r="A609" s="932"/>
      <c r="B609" s="1087"/>
      <c r="C609" s="1096"/>
      <c r="D609" s="1092"/>
      <c r="E609" s="1092"/>
      <c r="F609" s="1094"/>
      <c r="G609" s="103"/>
      <c r="H609" s="101"/>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93"/>
      <c r="I610" s="1091"/>
      <c r="J610" s="1083"/>
      <c r="K610" s="1083"/>
      <c r="L610" s="932"/>
    </row>
    <row r="611" spans="1:12" s="106" customFormat="1" ht="15.75" hidden="1" customHeight="1" outlineLevel="1">
      <c r="A611" s="932"/>
      <c r="B611" s="1086"/>
      <c r="C611" s="1089"/>
      <c r="D611" s="1091"/>
      <c r="E611" s="1091"/>
      <c r="F611" s="1093"/>
      <c r="G611" s="98"/>
      <c r="H611" s="93"/>
      <c r="I611" s="1091"/>
      <c r="J611" s="1084"/>
      <c r="K611" s="1084"/>
      <c r="L611" s="932"/>
    </row>
    <row r="612" spans="1:12" s="106" customFormat="1" ht="15.75" hidden="1" customHeight="1" outlineLevel="1" thickBot="1">
      <c r="A612" s="932"/>
      <c r="B612" s="1087"/>
      <c r="C612" s="1090"/>
      <c r="D612" s="1092"/>
      <c r="E612" s="1092"/>
      <c r="F612" s="1094"/>
      <c r="G612" s="103"/>
      <c r="H612" s="101"/>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s>
  <phoneticPr fontId="2" type="noConversion"/>
  <dataValidations count="1">
    <dataValidation type="list" allowBlank="1" showInputMessage="1" showErrorMessage="1" sqref="E13:E612" xr:uid="{00000000-0002-0000-1600-000000000000}">
      <formula1>$N$13:$N$17</formula1>
    </dataValidation>
  </dataValidations>
  <hyperlinks>
    <hyperlink ref="C1" location="Spis!B48" display="&gt;&gt; powrót do spisu treści" xr:uid="{00000000-0004-0000-16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0" width="10.81640625" style="81" customWidth="1"/>
    <col min="21" max="16384" width="15.81640625" style="81"/>
  </cols>
  <sheetData>
    <row r="1" spans="1:24">
      <c r="A1" s="914"/>
      <c r="B1" s="914"/>
      <c r="C1" s="941" t="s">
        <v>10</v>
      </c>
      <c r="D1" s="915"/>
      <c r="E1" s="916"/>
      <c r="F1" s="916"/>
      <c r="G1" s="917"/>
      <c r="H1" s="918"/>
      <c r="I1" s="919"/>
      <c r="J1" s="896"/>
      <c r="K1" s="896"/>
      <c r="L1" s="896"/>
      <c r="P1"/>
      <c r="Q1"/>
      <c r="R1"/>
      <c r="S1"/>
      <c r="T1"/>
      <c r="U1"/>
      <c r="V1"/>
      <c r="W1"/>
      <c r="X1"/>
    </row>
    <row r="2" spans="1:24" ht="9.9"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081" t="s">
        <v>21</v>
      </c>
      <c r="D3" s="1081"/>
      <c r="E3" s="1081"/>
      <c r="F3" s="1081"/>
      <c r="G3" s="1081"/>
      <c r="H3" s="1082"/>
      <c r="I3" s="919"/>
      <c r="J3" s="896"/>
      <c r="K3" s="896"/>
      <c r="L3" s="896"/>
      <c r="P3"/>
      <c r="Q3"/>
      <c r="R3"/>
      <c r="S3"/>
      <c r="T3"/>
      <c r="U3"/>
      <c r="V3"/>
      <c r="W3"/>
      <c r="X3"/>
    </row>
    <row r="4" spans="1:24" ht="15" customHeight="1">
      <c r="A4" s="914"/>
      <c r="B4" s="931" t="s">
        <v>29</v>
      </c>
      <c r="C4" s="1081" t="s">
        <v>181</v>
      </c>
      <c r="D4" s="1081"/>
      <c r="E4" s="1081"/>
      <c r="F4" s="1081"/>
      <c r="G4" s="1081"/>
      <c r="H4" s="1082"/>
      <c r="I4" s="919"/>
      <c r="J4" s="896"/>
      <c r="K4" s="896"/>
      <c r="L4" s="896"/>
      <c r="P4"/>
      <c r="Q4"/>
      <c r="R4"/>
      <c r="S4"/>
      <c r="T4"/>
      <c r="U4"/>
      <c r="V4"/>
      <c r="W4"/>
      <c r="X4"/>
    </row>
    <row r="5" spans="1:24" ht="15" customHeight="1">
      <c r="A5" s="896"/>
      <c r="B5" s="913" t="s">
        <v>30</v>
      </c>
      <c r="C5" s="1044" t="s">
        <v>107</v>
      </c>
      <c r="D5" s="1044"/>
      <c r="E5" s="1044"/>
      <c r="F5" s="1044"/>
      <c r="G5" s="1044"/>
      <c r="H5" s="1082"/>
      <c r="I5" s="919"/>
      <c r="J5" s="896"/>
      <c r="K5" s="896"/>
      <c r="L5" s="896"/>
      <c r="P5"/>
      <c r="Q5"/>
      <c r="R5"/>
      <c r="S5"/>
      <c r="T5"/>
      <c r="U5"/>
      <c r="V5"/>
      <c r="W5"/>
      <c r="X5"/>
    </row>
    <row r="6" spans="1:24" ht="50.1" customHeight="1">
      <c r="A6" s="896"/>
      <c r="B6" s="913" t="s">
        <v>37</v>
      </c>
      <c r="C6" s="1044" t="s">
        <v>179</v>
      </c>
      <c r="D6" s="1048"/>
      <c r="E6" s="1048"/>
      <c r="F6" s="1048"/>
      <c r="G6" s="1048"/>
      <c r="H6" s="1082"/>
      <c r="I6" s="919"/>
      <c r="J6" s="896"/>
      <c r="K6" s="896"/>
      <c r="L6" s="896"/>
      <c r="P6"/>
      <c r="Q6"/>
      <c r="R6"/>
      <c r="S6"/>
      <c r="T6"/>
      <c r="U6"/>
      <c r="V6"/>
      <c r="W6"/>
      <c r="X6"/>
    </row>
    <row r="7" spans="1:24" s="82" customFormat="1" ht="30" customHeight="1" thickBot="1">
      <c r="A7" s="923"/>
      <c r="B7" s="924" t="s">
        <v>263</v>
      </c>
      <c r="C7" s="927"/>
      <c r="D7" s="925"/>
      <c r="E7" s="923"/>
      <c r="F7" s="926"/>
      <c r="G7" s="927"/>
      <c r="H7" s="928"/>
      <c r="I7" s="928"/>
      <c r="J7" s="929"/>
      <c r="K7" s="929"/>
      <c r="L7" s="929"/>
      <c r="M7" s="84"/>
      <c r="P7"/>
      <c r="Q7"/>
      <c r="R7"/>
      <c r="S7"/>
      <c r="T7"/>
      <c r="U7"/>
      <c r="V7"/>
      <c r="W7"/>
      <c r="X7"/>
    </row>
    <row r="8" spans="1:24" ht="20.100000000000001" customHeight="1" thickBot="1">
      <c r="A8" s="896"/>
      <c r="B8" s="1106" t="str">
        <f>'Tab.G1.1-4'!$B$8</f>
        <v>LP</v>
      </c>
      <c r="C8" s="1078" t="str">
        <f>Tab.G6!$C$9</f>
        <v>Nazwa projektu inwestycyjnego</v>
      </c>
      <c r="D8" s="1078" t="str">
        <f>Tab.G6!$D$9</f>
        <v>Lokalizacja projektu inwestycyjnego</v>
      </c>
      <c r="E8" s="1078" t="str">
        <f>Tab.G6!$E$9</f>
        <v>Cel realizacji projektu</v>
      </c>
      <c r="F8" s="1078" t="str">
        <f>Tab.G6!$F$9</f>
        <v>Spodziewane efekty, wynikające z realizacji projektu</v>
      </c>
      <c r="G8" s="1078" t="str">
        <f>Tab.G6!$G$9</f>
        <v>Wartość dla poszczególnych spodziewanych efektów</v>
      </c>
      <c r="H8" s="1078" t="str">
        <f>Tab.G7!$H$8</f>
        <v>Rodzaj i zakres powiązania projektu z główną działalnością</v>
      </c>
      <c r="I8" s="1077" t="str">
        <f>Tab.G6!$H$9</f>
        <v>Zakres prac</v>
      </c>
      <c r="J8" s="632" t="str">
        <f>'Tab.G1.1-4'!$E$8</f>
        <v>Wykonanie</v>
      </c>
      <c r="K8" s="1075" t="str">
        <f>Tab.G6!$J$9</f>
        <v>UWAGI</v>
      </c>
      <c r="L8" s="894"/>
      <c r="M8" s="86"/>
      <c r="N8" s="79"/>
      <c r="O8" s="79"/>
      <c r="P8"/>
      <c r="Q8"/>
      <c r="R8"/>
      <c r="S8"/>
      <c r="T8"/>
      <c r="U8"/>
      <c r="V8"/>
      <c r="W8"/>
      <c r="X8"/>
    </row>
    <row r="9" spans="1:24" ht="20.100000000000001" customHeight="1" thickBot="1">
      <c r="A9" s="896"/>
      <c r="B9" s="1110"/>
      <c r="C9" s="1080"/>
      <c r="D9" s="1080"/>
      <c r="E9" s="1080"/>
      <c r="F9" s="1080"/>
      <c r="G9" s="1080"/>
      <c r="H9" s="1080"/>
      <c r="I9" s="1077"/>
      <c r="J9" s="633">
        <f>Rok_ZPR</f>
        <v>2020</v>
      </c>
      <c r="K9" s="1076"/>
      <c r="L9" s="876"/>
      <c r="M9" s="87"/>
      <c r="N9" s="79"/>
      <c r="O9" s="79"/>
      <c r="P9"/>
      <c r="Q9"/>
      <c r="R9"/>
      <c r="S9"/>
      <c r="T9"/>
      <c r="U9"/>
      <c r="V9"/>
      <c r="W9"/>
      <c r="X9"/>
    </row>
    <row r="10" spans="1:24" ht="20.100000000000001" customHeight="1">
      <c r="A10" s="896"/>
      <c r="B10" s="1110"/>
      <c r="C10" s="1080"/>
      <c r="D10" s="1080"/>
      <c r="E10" s="1080"/>
      <c r="F10" s="1080"/>
      <c r="G10" s="1080"/>
      <c r="H10" s="1080"/>
      <c r="I10" s="1078"/>
      <c r="J10" s="633" t="str">
        <f>'Tab.G1.1-4'!$D$11</f>
        <v>[tys. zł]</v>
      </c>
      <c r="K10" s="1076"/>
      <c r="L10" s="907"/>
      <c r="M10" s="88"/>
      <c r="N10" s="79"/>
      <c r="O10" s="79"/>
      <c r="P10"/>
      <c r="Q10"/>
      <c r="R10"/>
      <c r="S10"/>
      <c r="T10"/>
      <c r="U10"/>
      <c r="V10"/>
      <c r="W10"/>
      <c r="X10"/>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6">
        <v>1</v>
      </c>
      <c r="C13" s="1095"/>
      <c r="D13" s="1091"/>
      <c r="E13" s="1091" t="s">
        <v>20</v>
      </c>
      <c r="F13" s="1093" t="str">
        <f>VLOOKUP(E13,$N$13:$O$17,2,0)</f>
        <v>-</v>
      </c>
      <c r="G13" s="95"/>
      <c r="H13" s="1091"/>
      <c r="I13" s="1091"/>
      <c r="J13" s="1084"/>
      <c r="K13" s="1084"/>
      <c r="L13" s="908"/>
      <c r="M13" s="89"/>
      <c r="N13" s="96" t="s">
        <v>22</v>
      </c>
      <c r="O13" s="97" t="s">
        <v>23</v>
      </c>
      <c r="P13"/>
      <c r="Q13"/>
      <c r="R13"/>
      <c r="S13"/>
      <c r="T13"/>
      <c r="U13"/>
      <c r="V13"/>
      <c r="W13"/>
      <c r="X13"/>
    </row>
    <row r="14" spans="1:24" s="85" customFormat="1" ht="12.75" customHeight="1">
      <c r="A14" s="916"/>
      <c r="B14" s="1086"/>
      <c r="C14" s="1111"/>
      <c r="D14" s="1091"/>
      <c r="E14" s="1091"/>
      <c r="F14" s="1093"/>
      <c r="G14" s="98"/>
      <c r="H14" s="1091"/>
      <c r="I14" s="1091"/>
      <c r="J14" s="1084"/>
      <c r="K14" s="1084"/>
      <c r="L14" s="908"/>
      <c r="M14" s="89"/>
      <c r="N14" s="99" t="s">
        <v>24</v>
      </c>
      <c r="O14" s="100" t="s">
        <v>62</v>
      </c>
      <c r="P14"/>
      <c r="Q14"/>
      <c r="R14"/>
      <c r="S14"/>
      <c r="T14"/>
      <c r="U14"/>
      <c r="V14"/>
      <c r="W14"/>
      <c r="X14"/>
    </row>
    <row r="15" spans="1:24" s="85" customFormat="1" ht="12.75" customHeight="1">
      <c r="A15" s="916"/>
      <c r="B15" s="1087"/>
      <c r="C15" s="1112"/>
      <c r="D15" s="1092"/>
      <c r="E15" s="1092"/>
      <c r="F15" s="1094"/>
      <c r="G15" s="103"/>
      <c r="H15" s="1092"/>
      <c r="I15" s="1092"/>
      <c r="J15" s="1085"/>
      <c r="K15" s="1085"/>
      <c r="L15" s="908"/>
      <c r="M15" s="89"/>
      <c r="N15" s="99" t="s">
        <v>25</v>
      </c>
      <c r="O15" s="100" t="s">
        <v>26</v>
      </c>
      <c r="P15"/>
      <c r="Q15"/>
      <c r="R15"/>
      <c r="S15"/>
      <c r="T15"/>
      <c r="U15"/>
      <c r="V15"/>
      <c r="W15"/>
      <c r="X15"/>
    </row>
    <row r="16" spans="1:24" s="85" customFormat="1" ht="12.75" customHeight="1">
      <c r="A16" s="916"/>
      <c r="B16" s="1086">
        <v>2</v>
      </c>
      <c r="C16" s="1095"/>
      <c r="D16" s="1091"/>
      <c r="E16" s="1091" t="s">
        <v>20</v>
      </c>
      <c r="F16" s="1093" t="str">
        <f>VLOOKUP(E16,$N$13:$O$17,2,0)</f>
        <v>-</v>
      </c>
      <c r="G16" s="95"/>
      <c r="H16" s="1091"/>
      <c r="I16" s="1091"/>
      <c r="J16" s="1083"/>
      <c r="K16" s="1083"/>
      <c r="L16" s="908"/>
      <c r="M16" s="89"/>
      <c r="N16" s="99" t="s">
        <v>27</v>
      </c>
      <c r="O16" s="100" t="s">
        <v>28</v>
      </c>
      <c r="P16"/>
      <c r="Q16"/>
      <c r="R16"/>
      <c r="S16"/>
      <c r="T16"/>
      <c r="U16"/>
      <c r="V16"/>
      <c r="W16"/>
      <c r="X16"/>
    </row>
    <row r="17" spans="1:24" s="85" customFormat="1" ht="12.75" customHeight="1" thickBot="1">
      <c r="A17" s="916"/>
      <c r="B17" s="1086"/>
      <c r="C17" s="1095"/>
      <c r="D17" s="1091"/>
      <c r="E17" s="1091"/>
      <c r="F17" s="1093"/>
      <c r="G17" s="98"/>
      <c r="H17" s="1091"/>
      <c r="I17" s="1091"/>
      <c r="J17" s="1084"/>
      <c r="K17" s="1084"/>
      <c r="L17" s="908"/>
      <c r="M17" s="89"/>
      <c r="N17" s="104" t="s">
        <v>20</v>
      </c>
      <c r="O17" s="105" t="s">
        <v>20</v>
      </c>
      <c r="P17"/>
      <c r="Q17"/>
      <c r="R17"/>
      <c r="S17"/>
      <c r="T17"/>
      <c r="U17"/>
      <c r="V17"/>
      <c r="W17"/>
      <c r="X17"/>
    </row>
    <row r="18" spans="1:24" s="85" customFormat="1" ht="12.75" customHeight="1">
      <c r="A18" s="916"/>
      <c r="B18" s="1087"/>
      <c r="C18" s="1096"/>
      <c r="D18" s="1092"/>
      <c r="E18" s="1092"/>
      <c r="F18" s="1094"/>
      <c r="G18" s="103"/>
      <c r="H18" s="1092"/>
      <c r="I18" s="1092"/>
      <c r="J18" s="1085"/>
      <c r="K18" s="1085"/>
      <c r="L18" s="908"/>
      <c r="M18" s="89"/>
      <c r="N18" s="106"/>
      <c r="O18" s="107"/>
      <c r="P18"/>
      <c r="Q18"/>
      <c r="R18"/>
      <c r="S18"/>
      <c r="T18"/>
      <c r="U18"/>
      <c r="V18"/>
      <c r="W18"/>
      <c r="X18"/>
    </row>
    <row r="19" spans="1:24" s="85" customFormat="1" ht="12.75" customHeight="1">
      <c r="A19" s="916"/>
      <c r="B19" s="1086">
        <v>3</v>
      </c>
      <c r="C19" s="1095"/>
      <c r="D19" s="1091"/>
      <c r="E19" s="1091" t="s">
        <v>20</v>
      </c>
      <c r="F19" s="1093" t="str">
        <f>VLOOKUP(E19,$N$13:$O$17,2,0)</f>
        <v>-</v>
      </c>
      <c r="G19" s="95"/>
      <c r="H19" s="1091"/>
      <c r="I19" s="1091"/>
      <c r="J19" s="1083"/>
      <c r="K19" s="1083"/>
      <c r="L19" s="908"/>
      <c r="M19" s="89"/>
      <c r="N19" s="106"/>
      <c r="O19" s="107"/>
      <c r="P19"/>
      <c r="Q19"/>
      <c r="R19"/>
      <c r="S19"/>
      <c r="T19"/>
      <c r="U19"/>
      <c r="V19"/>
      <c r="W19"/>
      <c r="X19"/>
    </row>
    <row r="20" spans="1:24" s="85" customFormat="1" ht="12.75" customHeight="1">
      <c r="A20" s="916"/>
      <c r="B20" s="1086"/>
      <c r="C20" s="1095"/>
      <c r="D20" s="1091"/>
      <c r="E20" s="1091"/>
      <c r="F20" s="1093"/>
      <c r="G20" s="98"/>
      <c r="H20" s="1091"/>
      <c r="I20" s="1091"/>
      <c r="J20" s="1084"/>
      <c r="K20" s="1084"/>
      <c r="L20" s="908"/>
      <c r="M20" s="89"/>
      <c r="N20" s="106"/>
      <c r="O20" s="107"/>
      <c r="P20"/>
      <c r="Q20"/>
      <c r="R20"/>
      <c r="S20"/>
      <c r="T20"/>
      <c r="U20"/>
      <c r="V20"/>
      <c r="W20"/>
      <c r="X20"/>
    </row>
    <row r="21" spans="1:24" s="85" customFormat="1" ht="12.75" customHeight="1">
      <c r="A21" s="916"/>
      <c r="B21" s="1087"/>
      <c r="C21" s="1096"/>
      <c r="D21" s="1092"/>
      <c r="E21" s="1092"/>
      <c r="F21" s="1094"/>
      <c r="G21" s="103"/>
      <c r="H21" s="1092"/>
      <c r="I21" s="1092"/>
      <c r="J21" s="1085"/>
      <c r="K21" s="1085"/>
      <c r="L21" s="908"/>
      <c r="M21" s="89"/>
      <c r="N21" s="106"/>
      <c r="O21" s="107"/>
      <c r="P21"/>
      <c r="Q21"/>
      <c r="R21"/>
      <c r="S21"/>
      <c r="T21"/>
      <c r="U21"/>
      <c r="V21"/>
      <c r="W21"/>
      <c r="X21"/>
    </row>
    <row r="22" spans="1:24" s="85" customFormat="1" ht="12.75" customHeight="1">
      <c r="A22" s="916"/>
      <c r="B22" s="1086">
        <v>4</v>
      </c>
      <c r="C22" s="1095"/>
      <c r="D22" s="1091"/>
      <c r="E22" s="1091" t="s">
        <v>20</v>
      </c>
      <c r="F22" s="1093" t="str">
        <f>VLOOKUP(E22,$N$13:$O$17,2,0)</f>
        <v>-</v>
      </c>
      <c r="G22" s="95"/>
      <c r="H22" s="1091"/>
      <c r="I22" s="1091"/>
      <c r="J22" s="1083"/>
      <c r="K22" s="1083"/>
      <c r="L22" s="908"/>
      <c r="M22" s="89"/>
      <c r="N22" s="106"/>
      <c r="O22" s="107"/>
      <c r="P22"/>
      <c r="Q22"/>
      <c r="R22"/>
      <c r="S22"/>
      <c r="T22"/>
      <c r="U22"/>
      <c r="V22"/>
      <c r="W22"/>
      <c r="X22"/>
    </row>
    <row r="23" spans="1:24" s="85" customFormat="1" ht="12.75" customHeight="1">
      <c r="A23" s="916"/>
      <c r="B23" s="1086"/>
      <c r="C23" s="1095"/>
      <c r="D23" s="1091"/>
      <c r="E23" s="1091"/>
      <c r="F23" s="1093"/>
      <c r="G23" s="98"/>
      <c r="H23" s="1091"/>
      <c r="I23" s="1091"/>
      <c r="J23" s="1084"/>
      <c r="K23" s="1084"/>
      <c r="L23" s="908"/>
      <c r="M23" s="89"/>
      <c r="N23" s="106"/>
      <c r="O23" s="107"/>
      <c r="P23"/>
      <c r="Q23"/>
      <c r="R23"/>
      <c r="S23"/>
      <c r="T23"/>
      <c r="U23"/>
      <c r="V23"/>
      <c r="W23"/>
      <c r="X23"/>
    </row>
    <row r="24" spans="1:24" s="85" customFormat="1" ht="12.75" customHeight="1">
      <c r="A24" s="916"/>
      <c r="B24" s="1087"/>
      <c r="C24" s="1096"/>
      <c r="D24" s="1092"/>
      <c r="E24" s="1092"/>
      <c r="F24" s="1094"/>
      <c r="G24" s="103"/>
      <c r="H24" s="1092"/>
      <c r="I24" s="1092"/>
      <c r="J24" s="1085"/>
      <c r="K24" s="1085"/>
      <c r="L24" s="908"/>
      <c r="M24" s="89"/>
      <c r="N24" s="106"/>
      <c r="O24" s="107"/>
      <c r="P24"/>
      <c r="Q24"/>
      <c r="R24"/>
      <c r="S24"/>
      <c r="T24"/>
      <c r="U24"/>
      <c r="V24"/>
      <c r="W24"/>
      <c r="X24"/>
    </row>
    <row r="25" spans="1:24" s="85" customFormat="1" ht="12.75" customHeight="1">
      <c r="A25" s="916"/>
      <c r="B25" s="1086">
        <v>5</v>
      </c>
      <c r="C25" s="1095"/>
      <c r="D25" s="1091"/>
      <c r="E25" s="1091" t="s">
        <v>20</v>
      </c>
      <c r="F25" s="1093" t="str">
        <f>VLOOKUP(E25,$N$13:$O$17,2,0)</f>
        <v>-</v>
      </c>
      <c r="G25" s="95"/>
      <c r="H25" s="1091"/>
      <c r="I25" s="1091"/>
      <c r="J25" s="1083"/>
      <c r="K25" s="1083"/>
      <c r="L25" s="908"/>
      <c r="M25" s="89"/>
      <c r="N25" s="106"/>
      <c r="O25" s="107"/>
      <c r="P25"/>
      <c r="Q25"/>
      <c r="R25"/>
      <c r="S25"/>
      <c r="T25"/>
      <c r="U25"/>
      <c r="V25"/>
      <c r="W25"/>
      <c r="X25"/>
    </row>
    <row r="26" spans="1:24" s="85" customFormat="1" ht="12.75" customHeight="1">
      <c r="A26" s="916"/>
      <c r="B26" s="1086"/>
      <c r="C26" s="1095"/>
      <c r="D26" s="1091"/>
      <c r="E26" s="1091"/>
      <c r="F26" s="1093"/>
      <c r="G26" s="98"/>
      <c r="H26" s="1091"/>
      <c r="I26" s="1091"/>
      <c r="J26" s="1084"/>
      <c r="K26" s="1084"/>
      <c r="L26" s="908"/>
      <c r="M26" s="89"/>
      <c r="N26" s="106"/>
      <c r="O26" s="107"/>
      <c r="P26"/>
      <c r="Q26"/>
      <c r="R26"/>
      <c r="S26"/>
      <c r="T26"/>
      <c r="U26"/>
      <c r="V26"/>
      <c r="W26"/>
      <c r="X26"/>
    </row>
    <row r="27" spans="1:24" s="85" customFormat="1" ht="12.75" customHeight="1">
      <c r="A27" s="916"/>
      <c r="B27" s="1087"/>
      <c r="C27" s="1096"/>
      <c r="D27" s="1092"/>
      <c r="E27" s="1092"/>
      <c r="F27" s="1094"/>
      <c r="G27" s="103"/>
      <c r="H27" s="1092"/>
      <c r="I27" s="1092"/>
      <c r="J27" s="1085"/>
      <c r="K27" s="1085"/>
      <c r="L27" s="908"/>
      <c r="M27" s="89"/>
      <c r="N27" s="106"/>
      <c r="O27" s="107"/>
      <c r="P27"/>
      <c r="Q27"/>
      <c r="R27"/>
      <c r="S27"/>
      <c r="T27"/>
      <c r="U27"/>
      <c r="V27"/>
      <c r="W27"/>
      <c r="X27"/>
    </row>
    <row r="28" spans="1:24" s="85" customFormat="1" ht="12.75" customHeight="1">
      <c r="A28" s="916"/>
      <c r="B28" s="1086">
        <v>6</v>
      </c>
      <c r="C28" s="1095"/>
      <c r="D28" s="1091"/>
      <c r="E28" s="1091" t="s">
        <v>20</v>
      </c>
      <c r="F28" s="1093" t="str">
        <f>VLOOKUP(E28,$N$13:$O$17,2,0)</f>
        <v>-</v>
      </c>
      <c r="G28" s="95"/>
      <c r="H28" s="1091"/>
      <c r="I28" s="1091"/>
      <c r="J28" s="1083"/>
      <c r="K28" s="1083"/>
      <c r="L28" s="908"/>
      <c r="M28" s="89"/>
      <c r="N28" s="106"/>
      <c r="O28" s="107"/>
      <c r="P28"/>
      <c r="Q28"/>
      <c r="R28"/>
      <c r="S28"/>
      <c r="T28"/>
      <c r="U28"/>
      <c r="V28"/>
      <c r="W28"/>
      <c r="X28"/>
    </row>
    <row r="29" spans="1:24" s="85" customFormat="1" ht="12.75" customHeight="1">
      <c r="A29" s="916"/>
      <c r="B29" s="1086"/>
      <c r="C29" s="1095"/>
      <c r="D29" s="1091"/>
      <c r="E29" s="1091"/>
      <c r="F29" s="1093"/>
      <c r="G29" s="98"/>
      <c r="H29" s="1091"/>
      <c r="I29" s="1091"/>
      <c r="J29" s="1084"/>
      <c r="K29" s="1084"/>
      <c r="L29" s="908"/>
      <c r="M29" s="89"/>
      <c r="N29" s="106"/>
      <c r="O29" s="107"/>
      <c r="P29"/>
      <c r="Q29"/>
      <c r="R29"/>
      <c r="S29"/>
      <c r="T29"/>
      <c r="U29"/>
      <c r="V29"/>
      <c r="W29"/>
      <c r="X29"/>
    </row>
    <row r="30" spans="1:24" s="85" customFormat="1" ht="12.75" customHeight="1">
      <c r="A30" s="916"/>
      <c r="B30" s="1087"/>
      <c r="C30" s="1096"/>
      <c r="D30" s="1092"/>
      <c r="E30" s="1092"/>
      <c r="F30" s="1094"/>
      <c r="G30" s="103"/>
      <c r="H30" s="1092"/>
      <c r="I30" s="1092"/>
      <c r="J30" s="1085"/>
      <c r="K30" s="1085"/>
      <c r="L30" s="908"/>
      <c r="M30" s="89"/>
      <c r="N30" s="106"/>
      <c r="O30" s="107"/>
      <c r="P30"/>
      <c r="Q30"/>
      <c r="R30"/>
      <c r="S30"/>
      <c r="T30"/>
      <c r="U30"/>
      <c r="V30"/>
      <c r="W30"/>
      <c r="X30"/>
    </row>
    <row r="31" spans="1:24" s="85" customFormat="1" ht="12.75" customHeight="1">
      <c r="A31" s="916"/>
      <c r="B31" s="1086">
        <v>7</v>
      </c>
      <c r="C31" s="1095"/>
      <c r="D31" s="1091"/>
      <c r="E31" s="1091" t="s">
        <v>20</v>
      </c>
      <c r="F31" s="1093" t="str">
        <f>VLOOKUP(E31,$N$13:$O$17,2,0)</f>
        <v>-</v>
      </c>
      <c r="G31" s="95"/>
      <c r="H31" s="1091"/>
      <c r="I31" s="1091"/>
      <c r="J31" s="1083"/>
      <c r="K31" s="1083"/>
      <c r="L31" s="908"/>
      <c r="M31" s="89"/>
      <c r="N31" s="106"/>
      <c r="O31" s="107"/>
      <c r="P31"/>
      <c r="Q31"/>
      <c r="R31"/>
      <c r="S31"/>
      <c r="T31"/>
      <c r="U31"/>
      <c r="V31"/>
      <c r="W31"/>
      <c r="X31"/>
    </row>
    <row r="32" spans="1:24" s="85" customFormat="1" ht="12.75" customHeight="1">
      <c r="A32" s="916"/>
      <c r="B32" s="1086"/>
      <c r="C32" s="1095"/>
      <c r="D32" s="1091"/>
      <c r="E32" s="1091"/>
      <c r="F32" s="1093"/>
      <c r="G32" s="98"/>
      <c r="H32" s="1091"/>
      <c r="I32" s="1091"/>
      <c r="J32" s="1084"/>
      <c r="K32" s="1084"/>
      <c r="L32" s="908"/>
      <c r="M32" s="89"/>
      <c r="N32" s="106"/>
      <c r="O32" s="107"/>
      <c r="P32"/>
      <c r="Q32"/>
      <c r="R32"/>
      <c r="S32"/>
      <c r="T32"/>
      <c r="U32"/>
      <c r="V32"/>
      <c r="W32"/>
      <c r="X32"/>
    </row>
    <row r="33" spans="1:24" s="85" customFormat="1" ht="12.75" customHeight="1">
      <c r="A33" s="916"/>
      <c r="B33" s="1087"/>
      <c r="C33" s="1096"/>
      <c r="D33" s="1092"/>
      <c r="E33" s="1092"/>
      <c r="F33" s="1094"/>
      <c r="G33" s="103"/>
      <c r="H33" s="1092"/>
      <c r="I33" s="1092"/>
      <c r="J33" s="1085"/>
      <c r="K33" s="1085"/>
      <c r="L33" s="908"/>
      <c r="M33" s="89"/>
      <c r="N33" s="106"/>
      <c r="O33" s="107"/>
      <c r="P33"/>
      <c r="Q33"/>
      <c r="R33"/>
      <c r="S33"/>
      <c r="T33"/>
      <c r="U33"/>
      <c r="V33"/>
      <c r="W33"/>
      <c r="X33"/>
    </row>
    <row r="34" spans="1:24" s="85" customFormat="1" ht="12.75" customHeight="1">
      <c r="A34" s="916"/>
      <c r="B34" s="1086">
        <v>8</v>
      </c>
      <c r="C34" s="1095"/>
      <c r="D34" s="1091"/>
      <c r="E34" s="1091" t="s">
        <v>20</v>
      </c>
      <c r="F34" s="1093" t="str">
        <f>VLOOKUP(E34,$N$13:$O$17,2,0)</f>
        <v>-</v>
      </c>
      <c r="G34" s="95"/>
      <c r="H34" s="1091"/>
      <c r="I34" s="1091"/>
      <c r="J34" s="1083"/>
      <c r="K34" s="1083"/>
      <c r="L34" s="908"/>
      <c r="M34" s="89"/>
      <c r="N34" s="106"/>
      <c r="O34" s="107"/>
      <c r="P34"/>
      <c r="Q34"/>
      <c r="R34"/>
      <c r="S34"/>
      <c r="T34"/>
      <c r="U34"/>
      <c r="V34"/>
      <c r="W34"/>
      <c r="X34"/>
    </row>
    <row r="35" spans="1:24" s="85" customFormat="1" ht="12.75" customHeight="1">
      <c r="A35" s="916"/>
      <c r="B35" s="1086"/>
      <c r="C35" s="1095"/>
      <c r="D35" s="1091"/>
      <c r="E35" s="1091"/>
      <c r="F35" s="1093"/>
      <c r="G35" s="841"/>
      <c r="H35" s="1091"/>
      <c r="I35" s="1091"/>
      <c r="J35" s="1084"/>
      <c r="K35" s="1084"/>
      <c r="L35" s="908"/>
      <c r="M35" s="89"/>
      <c r="N35" s="106"/>
      <c r="O35" s="107"/>
      <c r="P35"/>
      <c r="Q35"/>
      <c r="R35"/>
      <c r="S35"/>
      <c r="T35"/>
      <c r="U35"/>
      <c r="V35"/>
      <c r="W35"/>
      <c r="X35"/>
    </row>
    <row r="36" spans="1:24" s="85" customFormat="1" ht="12.75" customHeight="1">
      <c r="A36" s="916"/>
      <c r="B36" s="1087"/>
      <c r="C36" s="1096"/>
      <c r="D36" s="1092"/>
      <c r="E36" s="1092"/>
      <c r="F36" s="1094"/>
      <c r="G36" s="103"/>
      <c r="H36" s="1092"/>
      <c r="I36" s="1092"/>
      <c r="J36" s="1085"/>
      <c r="K36" s="1085"/>
      <c r="L36" s="908"/>
      <c r="M36" s="89"/>
      <c r="N36" s="106"/>
      <c r="O36" s="107"/>
      <c r="P36"/>
      <c r="Q36"/>
      <c r="R36"/>
      <c r="S36"/>
      <c r="T36"/>
      <c r="U36"/>
      <c r="V36"/>
      <c r="W36"/>
      <c r="X36"/>
    </row>
    <row r="37" spans="1:24" s="85" customFormat="1" ht="12.75" customHeight="1">
      <c r="A37" s="916"/>
      <c r="B37" s="1086">
        <v>9</v>
      </c>
      <c r="C37" s="1095"/>
      <c r="D37" s="1091"/>
      <c r="E37" s="1091" t="s">
        <v>20</v>
      </c>
      <c r="F37" s="1093" t="str">
        <f>VLOOKUP(E37,$N$13:$O$17,2,0)</f>
        <v>-</v>
      </c>
      <c r="G37" s="95"/>
      <c r="H37" s="1091"/>
      <c r="I37" s="1091"/>
      <c r="J37" s="1083"/>
      <c r="K37" s="1083"/>
      <c r="L37" s="908"/>
      <c r="M37" s="89"/>
      <c r="N37" s="106"/>
      <c r="O37" s="107"/>
      <c r="P37"/>
      <c r="Q37"/>
      <c r="R37"/>
      <c r="S37"/>
      <c r="T37"/>
      <c r="U37"/>
      <c r="V37"/>
      <c r="W37"/>
      <c r="X37"/>
    </row>
    <row r="38" spans="1:24" s="85" customFormat="1" ht="12.75" customHeight="1">
      <c r="A38" s="916"/>
      <c r="B38" s="1086"/>
      <c r="C38" s="1095"/>
      <c r="D38" s="1091"/>
      <c r="E38" s="1091"/>
      <c r="F38" s="1093"/>
      <c r="G38" s="98"/>
      <c r="H38" s="1091"/>
      <c r="I38" s="1091"/>
      <c r="J38" s="1084"/>
      <c r="K38" s="1084"/>
      <c r="L38" s="908"/>
      <c r="M38" s="89"/>
      <c r="N38" s="106"/>
      <c r="O38" s="107"/>
      <c r="P38"/>
      <c r="Q38"/>
      <c r="R38"/>
      <c r="S38"/>
      <c r="T38"/>
      <c r="U38"/>
      <c r="V38"/>
      <c r="W38"/>
      <c r="X38"/>
    </row>
    <row r="39" spans="1:24" s="85" customFormat="1" ht="12.75" customHeight="1">
      <c r="A39" s="916"/>
      <c r="B39" s="1087"/>
      <c r="C39" s="1096"/>
      <c r="D39" s="1092"/>
      <c r="E39" s="1092"/>
      <c r="F39" s="1094"/>
      <c r="G39" s="103"/>
      <c r="H39" s="1092"/>
      <c r="I39" s="1092"/>
      <c r="J39" s="1085"/>
      <c r="K39" s="1085"/>
      <c r="L39" s="908"/>
      <c r="M39" s="89"/>
      <c r="N39" s="106"/>
      <c r="O39" s="107"/>
      <c r="P39"/>
      <c r="Q39"/>
      <c r="R39"/>
      <c r="S39"/>
      <c r="T39"/>
      <c r="U39"/>
      <c r="V39"/>
      <c r="W39"/>
      <c r="X39"/>
    </row>
    <row r="40" spans="1:24" s="85" customFormat="1" ht="12.75" customHeight="1">
      <c r="A40" s="916"/>
      <c r="B40" s="1086">
        <v>10</v>
      </c>
      <c r="C40" s="1095"/>
      <c r="D40" s="1091"/>
      <c r="E40" s="1091" t="s">
        <v>20</v>
      </c>
      <c r="F40" s="1093" t="str">
        <f>VLOOKUP(E40,$N$13:$O$17,2,0)</f>
        <v>-</v>
      </c>
      <c r="G40" s="95"/>
      <c r="H40" s="1091"/>
      <c r="I40" s="1091"/>
      <c r="J40" s="1083"/>
      <c r="K40" s="1083"/>
      <c r="L40" s="908"/>
      <c r="M40" s="89"/>
      <c r="N40" s="106"/>
      <c r="O40" s="107"/>
      <c r="P40"/>
      <c r="Q40"/>
      <c r="R40"/>
      <c r="S40"/>
      <c r="T40"/>
      <c r="U40"/>
      <c r="V40"/>
      <c r="W40"/>
      <c r="X40"/>
    </row>
    <row r="41" spans="1:24" s="85" customFormat="1" ht="12.75" customHeight="1">
      <c r="A41" s="916"/>
      <c r="B41" s="1086"/>
      <c r="C41" s="1095"/>
      <c r="D41" s="1091"/>
      <c r="E41" s="1091"/>
      <c r="F41" s="1093"/>
      <c r="G41" s="98"/>
      <c r="H41" s="1091"/>
      <c r="I41" s="1091"/>
      <c r="J41" s="1084"/>
      <c r="K41" s="1084"/>
      <c r="L41" s="908"/>
      <c r="M41" s="89"/>
      <c r="N41" s="106"/>
      <c r="O41" s="107"/>
    </row>
    <row r="42" spans="1:24" s="85" customFormat="1" ht="12.75" customHeight="1" thickBot="1">
      <c r="A42" s="916"/>
      <c r="B42" s="1087"/>
      <c r="C42" s="1096"/>
      <c r="D42" s="1092"/>
      <c r="E42" s="1092"/>
      <c r="F42" s="1094"/>
      <c r="G42" s="103"/>
      <c r="H42" s="1092"/>
      <c r="I42" s="1092"/>
      <c r="J42" s="1085"/>
      <c r="K42" s="1085"/>
      <c r="L42" s="908"/>
      <c r="M42" s="89"/>
      <c r="N42" s="106"/>
      <c r="O42" s="107"/>
    </row>
    <row r="43" spans="1:24" s="106" customFormat="1" ht="15.75" hidden="1" customHeight="1" outlineLevel="1">
      <c r="A43" s="932"/>
      <c r="B43" s="1086">
        <v>11</v>
      </c>
      <c r="C43" s="1095"/>
      <c r="D43" s="1091"/>
      <c r="E43" s="1091" t="s">
        <v>20</v>
      </c>
      <c r="F43" s="1093" t="str">
        <f>VLOOKUP(E43,$N$13:$O$17,2,0)</f>
        <v>-</v>
      </c>
      <c r="G43" s="95"/>
      <c r="H43" s="1091"/>
      <c r="I43" s="1091"/>
      <c r="J43" s="1083"/>
      <c r="K43" s="1083"/>
      <c r="L43" s="932"/>
    </row>
    <row r="44" spans="1:24" s="106" customFormat="1" ht="15.75" hidden="1" customHeight="1" outlineLevel="1">
      <c r="A44" s="932"/>
      <c r="B44" s="1086"/>
      <c r="C44" s="1095"/>
      <c r="D44" s="1091"/>
      <c r="E44" s="1091"/>
      <c r="F44" s="1093"/>
      <c r="G44" s="98"/>
      <c r="H44" s="1091"/>
      <c r="I44" s="1091"/>
      <c r="J44" s="1084"/>
      <c r="K44" s="1084"/>
      <c r="L44" s="932"/>
    </row>
    <row r="45" spans="1:24" s="83" customFormat="1" ht="15.75" hidden="1" customHeight="1" outlineLevel="1">
      <c r="A45" s="926"/>
      <c r="B45" s="1087"/>
      <c r="C45" s="1096"/>
      <c r="D45" s="1092"/>
      <c r="E45" s="1092"/>
      <c r="F45" s="1094"/>
      <c r="G45" s="103"/>
      <c r="H45" s="1092"/>
      <c r="I45" s="1092"/>
      <c r="J45" s="1085"/>
      <c r="K45" s="1085"/>
      <c r="L45" s="926"/>
    </row>
    <row r="46" spans="1:24" s="83" customFormat="1" ht="15.75" hidden="1" customHeight="1" outlineLevel="1">
      <c r="A46" s="926"/>
      <c r="B46" s="1086">
        <v>12</v>
      </c>
      <c r="C46" s="1095"/>
      <c r="D46" s="1091"/>
      <c r="E46" s="1091" t="s">
        <v>20</v>
      </c>
      <c r="F46" s="1093" t="str">
        <f>VLOOKUP(E46,$N$13:$O$17,2,0)</f>
        <v>-</v>
      </c>
      <c r="G46" s="95"/>
      <c r="H46" s="1091"/>
      <c r="I46" s="1091"/>
      <c r="J46" s="1083"/>
      <c r="K46" s="1083"/>
      <c r="L46" s="926"/>
    </row>
    <row r="47" spans="1:24" s="106" customFormat="1" ht="15.75" hidden="1" customHeight="1" outlineLevel="1">
      <c r="A47" s="932"/>
      <c r="B47" s="1086"/>
      <c r="C47" s="1095"/>
      <c r="D47" s="1091"/>
      <c r="E47" s="1091"/>
      <c r="F47" s="1093"/>
      <c r="G47" s="98"/>
      <c r="H47" s="1091"/>
      <c r="I47" s="1091"/>
      <c r="J47" s="1084"/>
      <c r="K47" s="1084"/>
      <c r="L47" s="932"/>
    </row>
    <row r="48" spans="1:24" s="106" customFormat="1" ht="15.75" hidden="1" customHeight="1" outlineLevel="1">
      <c r="A48" s="932"/>
      <c r="B48" s="1087"/>
      <c r="C48" s="1096"/>
      <c r="D48" s="1092"/>
      <c r="E48" s="1092"/>
      <c r="F48" s="1094"/>
      <c r="G48" s="103"/>
      <c r="H48" s="1092"/>
      <c r="I48" s="1092"/>
      <c r="J48" s="1085"/>
      <c r="K48" s="1085"/>
      <c r="L48" s="932"/>
    </row>
    <row r="49" spans="1:12" s="106" customFormat="1" ht="15.75" hidden="1" customHeight="1" outlineLevel="1">
      <c r="A49" s="932"/>
      <c r="B49" s="1086">
        <v>13</v>
      </c>
      <c r="C49" s="1095"/>
      <c r="D49" s="1091"/>
      <c r="E49" s="1091" t="s">
        <v>20</v>
      </c>
      <c r="F49" s="1093" t="str">
        <f>VLOOKUP(E49,$N$13:$O$17,2,0)</f>
        <v>-</v>
      </c>
      <c r="G49" s="95"/>
      <c r="H49" s="1091"/>
      <c r="I49" s="1091"/>
      <c r="J49" s="1083"/>
      <c r="K49" s="1083"/>
      <c r="L49" s="932"/>
    </row>
    <row r="50" spans="1:12" s="106" customFormat="1" ht="15.75" hidden="1" customHeight="1" outlineLevel="1">
      <c r="A50" s="932"/>
      <c r="B50" s="1086"/>
      <c r="C50" s="1095"/>
      <c r="D50" s="1091"/>
      <c r="E50" s="1091"/>
      <c r="F50" s="1093"/>
      <c r="G50" s="98"/>
      <c r="H50" s="1091"/>
      <c r="I50" s="1091"/>
      <c r="J50" s="1084"/>
      <c r="K50" s="1084"/>
      <c r="L50" s="932"/>
    </row>
    <row r="51" spans="1:12" s="106" customFormat="1" ht="15.75" hidden="1" customHeight="1" outlineLevel="1">
      <c r="A51" s="932"/>
      <c r="B51" s="1087"/>
      <c r="C51" s="1096"/>
      <c r="D51" s="1092"/>
      <c r="E51" s="1092"/>
      <c r="F51" s="1094"/>
      <c r="G51" s="103"/>
      <c r="H51" s="1092"/>
      <c r="I51" s="1092"/>
      <c r="J51" s="1085"/>
      <c r="K51" s="1085"/>
      <c r="L51" s="932"/>
    </row>
    <row r="52" spans="1:12" s="106" customFormat="1" ht="15.75" hidden="1" customHeight="1" outlineLevel="1">
      <c r="A52" s="932"/>
      <c r="B52" s="1086">
        <v>14</v>
      </c>
      <c r="C52" s="1095"/>
      <c r="D52" s="1091"/>
      <c r="E52" s="1091" t="s">
        <v>20</v>
      </c>
      <c r="F52" s="1093" t="str">
        <f>VLOOKUP(E52,$N$13:$O$17,2,0)</f>
        <v>-</v>
      </c>
      <c r="G52" s="95"/>
      <c r="H52" s="1091"/>
      <c r="I52" s="1091"/>
      <c r="J52" s="1083"/>
      <c r="K52" s="1083"/>
      <c r="L52" s="932"/>
    </row>
    <row r="53" spans="1:12" s="106" customFormat="1" ht="15.75" hidden="1" customHeight="1" outlineLevel="1">
      <c r="A53" s="932"/>
      <c r="B53" s="1086"/>
      <c r="C53" s="1095"/>
      <c r="D53" s="1091"/>
      <c r="E53" s="1091"/>
      <c r="F53" s="1093"/>
      <c r="G53" s="98"/>
      <c r="H53" s="1091"/>
      <c r="I53" s="1091"/>
      <c r="J53" s="1084"/>
      <c r="K53" s="1084"/>
      <c r="L53" s="932"/>
    </row>
    <row r="54" spans="1:12" s="106" customFormat="1" ht="15.75" hidden="1" customHeight="1" outlineLevel="1">
      <c r="A54" s="932"/>
      <c r="B54" s="1087"/>
      <c r="C54" s="1096"/>
      <c r="D54" s="1092"/>
      <c r="E54" s="1092"/>
      <c r="F54" s="1094"/>
      <c r="G54" s="103"/>
      <c r="H54" s="1092"/>
      <c r="I54" s="1092"/>
      <c r="J54" s="1085"/>
      <c r="K54" s="1085"/>
      <c r="L54" s="932"/>
    </row>
    <row r="55" spans="1:12" s="106" customFormat="1" ht="15.75" hidden="1" customHeight="1" outlineLevel="1">
      <c r="A55" s="932"/>
      <c r="B55" s="1086">
        <v>15</v>
      </c>
      <c r="C55" s="1095"/>
      <c r="D55" s="1091"/>
      <c r="E55" s="1091" t="s">
        <v>20</v>
      </c>
      <c r="F55" s="1093" t="str">
        <f>VLOOKUP(E55,$N$13:$O$17,2,0)</f>
        <v>-</v>
      </c>
      <c r="G55" s="95"/>
      <c r="H55" s="1091"/>
      <c r="I55" s="1091"/>
      <c r="J55" s="1083"/>
      <c r="K55" s="1083"/>
      <c r="L55" s="932"/>
    </row>
    <row r="56" spans="1:12" s="106" customFormat="1" ht="15.75" hidden="1" customHeight="1" outlineLevel="1">
      <c r="A56" s="932"/>
      <c r="B56" s="1086"/>
      <c r="C56" s="1095"/>
      <c r="D56" s="1091"/>
      <c r="E56" s="1091"/>
      <c r="F56" s="1093"/>
      <c r="G56" s="98"/>
      <c r="H56" s="1091"/>
      <c r="I56" s="1091"/>
      <c r="J56" s="1084"/>
      <c r="K56" s="1084"/>
      <c r="L56" s="932"/>
    </row>
    <row r="57" spans="1:12" s="106" customFormat="1" ht="15.75" hidden="1" customHeight="1" outlineLevel="1">
      <c r="A57" s="932"/>
      <c r="B57" s="1087"/>
      <c r="C57" s="1096"/>
      <c r="D57" s="1092"/>
      <c r="E57" s="1092"/>
      <c r="F57" s="1094"/>
      <c r="G57" s="103"/>
      <c r="H57" s="1092"/>
      <c r="I57" s="1092"/>
      <c r="J57" s="1085"/>
      <c r="K57" s="1085"/>
      <c r="L57" s="932"/>
    </row>
    <row r="58" spans="1:12" s="106" customFormat="1" ht="15.75" hidden="1" customHeight="1" outlineLevel="1">
      <c r="A58" s="932"/>
      <c r="B58" s="1086">
        <v>16</v>
      </c>
      <c r="C58" s="1095"/>
      <c r="D58" s="1091"/>
      <c r="E58" s="1091" t="s">
        <v>20</v>
      </c>
      <c r="F58" s="1093" t="e">
        <f>IF(F$25=0,0,F32/F$25)</f>
        <v>#VALUE!</v>
      </c>
      <c r="G58" s="95"/>
      <c r="H58" s="1091"/>
      <c r="I58" s="1091"/>
      <c r="J58" s="1083"/>
      <c r="K58" s="1083"/>
      <c r="L58" s="932"/>
    </row>
    <row r="59" spans="1:12" s="106" customFormat="1" ht="15.75" hidden="1" customHeight="1" outlineLevel="1">
      <c r="A59" s="932"/>
      <c r="B59" s="1086"/>
      <c r="C59" s="1095"/>
      <c r="D59" s="1091"/>
      <c r="E59" s="1091"/>
      <c r="F59" s="1093"/>
      <c r="G59" s="98"/>
      <c r="H59" s="1091"/>
      <c r="I59" s="1091"/>
      <c r="J59" s="1084"/>
      <c r="K59" s="1084"/>
      <c r="L59" s="932"/>
    </row>
    <row r="60" spans="1:12" s="106" customFormat="1" ht="15.75" hidden="1" customHeight="1" outlineLevel="1">
      <c r="A60" s="932"/>
      <c r="B60" s="1087"/>
      <c r="C60" s="1096"/>
      <c r="D60" s="1092"/>
      <c r="E60" s="1092"/>
      <c r="F60" s="1094"/>
      <c r="G60" s="103"/>
      <c r="H60" s="1092"/>
      <c r="I60" s="1092"/>
      <c r="J60" s="1085"/>
      <c r="K60" s="1085"/>
      <c r="L60" s="932"/>
    </row>
    <row r="61" spans="1:12" s="106" customFormat="1" ht="15.75" hidden="1" customHeight="1" outlineLevel="1">
      <c r="A61" s="932"/>
      <c r="B61" s="1086">
        <v>17</v>
      </c>
      <c r="C61" s="1095"/>
      <c r="D61" s="1091"/>
      <c r="E61" s="1091" t="s">
        <v>20</v>
      </c>
      <c r="F61" s="1093" t="str">
        <f>VLOOKUP(E61,$N$13:$O$17,2,0)</f>
        <v>-</v>
      </c>
      <c r="G61" s="95"/>
      <c r="H61" s="1091"/>
      <c r="I61" s="1091"/>
      <c r="J61" s="1083"/>
      <c r="K61" s="1083"/>
      <c r="L61" s="932"/>
    </row>
    <row r="62" spans="1:12" s="106" customFormat="1" ht="15.75" hidden="1" customHeight="1" outlineLevel="1">
      <c r="A62" s="932"/>
      <c r="B62" s="1086"/>
      <c r="C62" s="1095"/>
      <c r="D62" s="1091"/>
      <c r="E62" s="1091"/>
      <c r="F62" s="1093"/>
      <c r="G62" s="98"/>
      <c r="H62" s="1091"/>
      <c r="I62" s="1091"/>
      <c r="J62" s="1084"/>
      <c r="K62" s="1084"/>
      <c r="L62" s="932"/>
    </row>
    <row r="63" spans="1:12" s="106" customFormat="1" ht="15.75" hidden="1" customHeight="1" outlineLevel="1">
      <c r="A63" s="932"/>
      <c r="B63" s="1087"/>
      <c r="C63" s="1096"/>
      <c r="D63" s="1092"/>
      <c r="E63" s="1092"/>
      <c r="F63" s="1094"/>
      <c r="G63" s="103"/>
      <c r="H63" s="1092"/>
      <c r="I63" s="1092"/>
      <c r="J63" s="1085"/>
      <c r="K63" s="1085"/>
      <c r="L63" s="932"/>
    </row>
    <row r="64" spans="1:12" s="106" customFormat="1" ht="15.75" hidden="1" customHeight="1" outlineLevel="1">
      <c r="A64" s="932"/>
      <c r="B64" s="1086">
        <v>18</v>
      </c>
      <c r="C64" s="1095"/>
      <c r="D64" s="1091"/>
      <c r="E64" s="1091" t="s">
        <v>20</v>
      </c>
      <c r="F64" s="1093" t="str">
        <f>VLOOKUP(E64,$N$13:$O$17,2,0)</f>
        <v>-</v>
      </c>
      <c r="G64" s="95"/>
      <c r="H64" s="1091"/>
      <c r="I64" s="1091"/>
      <c r="J64" s="1083"/>
      <c r="K64" s="1083"/>
      <c r="L64" s="932"/>
    </row>
    <row r="65" spans="1:12" s="106" customFormat="1" ht="15.75" hidden="1" customHeight="1" outlineLevel="1">
      <c r="A65" s="932"/>
      <c r="B65" s="1086"/>
      <c r="C65" s="1095"/>
      <c r="D65" s="1091"/>
      <c r="E65" s="1091"/>
      <c r="F65" s="1093"/>
      <c r="G65" s="98"/>
      <c r="H65" s="1091"/>
      <c r="I65" s="1091"/>
      <c r="J65" s="1084"/>
      <c r="K65" s="1084"/>
      <c r="L65" s="932"/>
    </row>
    <row r="66" spans="1:12" s="106" customFormat="1" ht="15.75" hidden="1" customHeight="1" outlineLevel="1">
      <c r="A66" s="932"/>
      <c r="B66" s="1087"/>
      <c r="C66" s="1096"/>
      <c r="D66" s="1092"/>
      <c r="E66" s="1092"/>
      <c r="F66" s="1094"/>
      <c r="G66" s="103"/>
      <c r="H66" s="1092"/>
      <c r="I66" s="1092"/>
      <c r="J66" s="1085"/>
      <c r="K66" s="1085"/>
      <c r="L66" s="932"/>
    </row>
    <row r="67" spans="1:12" s="106" customFormat="1" ht="15.75" hidden="1" customHeight="1" outlineLevel="1">
      <c r="A67" s="932"/>
      <c r="B67" s="1086">
        <v>19</v>
      </c>
      <c r="C67" s="1095"/>
      <c r="D67" s="1091"/>
      <c r="E67" s="1091" t="s">
        <v>20</v>
      </c>
      <c r="F67" s="1093" t="str">
        <f>VLOOKUP(E67,$N$13:$O$17,2,0)</f>
        <v>-</v>
      </c>
      <c r="G67" s="95"/>
      <c r="H67" s="1091"/>
      <c r="I67" s="1091"/>
      <c r="J67" s="1083"/>
      <c r="K67" s="1083"/>
      <c r="L67" s="932"/>
    </row>
    <row r="68" spans="1:12" s="106" customFormat="1" ht="15.75" hidden="1" customHeight="1" outlineLevel="1">
      <c r="A68" s="932"/>
      <c r="B68" s="1086"/>
      <c r="C68" s="1095"/>
      <c r="D68" s="1091"/>
      <c r="E68" s="1091"/>
      <c r="F68" s="1093"/>
      <c r="G68" s="98"/>
      <c r="H68" s="1091"/>
      <c r="I68" s="1091"/>
      <c r="J68" s="1084"/>
      <c r="K68" s="1084"/>
      <c r="L68" s="932"/>
    </row>
    <row r="69" spans="1:12" s="106" customFormat="1" ht="15.75" hidden="1" customHeight="1" outlineLevel="1">
      <c r="A69" s="932"/>
      <c r="B69" s="1087"/>
      <c r="C69" s="1096"/>
      <c r="D69" s="1092"/>
      <c r="E69" s="1092"/>
      <c r="F69" s="1094"/>
      <c r="G69" s="103"/>
      <c r="H69" s="1092"/>
      <c r="I69" s="1092"/>
      <c r="J69" s="1085"/>
      <c r="K69" s="1085"/>
      <c r="L69" s="932"/>
    </row>
    <row r="70" spans="1:12" s="106" customFormat="1" ht="15.75" hidden="1" customHeight="1" outlineLevel="1">
      <c r="A70" s="932"/>
      <c r="B70" s="1086">
        <v>20</v>
      </c>
      <c r="C70" s="1095"/>
      <c r="D70" s="1091"/>
      <c r="E70" s="1091" t="s">
        <v>20</v>
      </c>
      <c r="F70" s="1093" t="str">
        <f>VLOOKUP(E70,$N$13:$O$17,2,0)</f>
        <v>-</v>
      </c>
      <c r="G70" s="95"/>
      <c r="H70" s="1091"/>
      <c r="I70" s="1091"/>
      <c r="J70" s="1083"/>
      <c r="K70" s="1083"/>
      <c r="L70" s="932"/>
    </row>
    <row r="71" spans="1:12" s="106" customFormat="1" ht="15.75" hidden="1" customHeight="1" outlineLevel="1">
      <c r="A71" s="932"/>
      <c r="B71" s="1086"/>
      <c r="C71" s="1095"/>
      <c r="D71" s="1091"/>
      <c r="E71" s="1091"/>
      <c r="F71" s="1093"/>
      <c r="G71" s="98"/>
      <c r="H71" s="1091"/>
      <c r="I71" s="1091"/>
      <c r="J71" s="1084"/>
      <c r="K71" s="1084"/>
      <c r="L71" s="932"/>
    </row>
    <row r="72" spans="1:12" s="106" customFormat="1" ht="15.75" hidden="1" customHeight="1" outlineLevel="1">
      <c r="A72" s="932"/>
      <c r="B72" s="1087"/>
      <c r="C72" s="1096"/>
      <c r="D72" s="1092"/>
      <c r="E72" s="1092"/>
      <c r="F72" s="1094"/>
      <c r="G72" s="103"/>
      <c r="H72" s="1092"/>
      <c r="I72" s="1092"/>
      <c r="J72" s="1085"/>
      <c r="K72" s="1085"/>
      <c r="L72" s="932"/>
    </row>
    <row r="73" spans="1:12" s="106" customFormat="1" ht="15.75" hidden="1" customHeight="1" outlineLevel="1">
      <c r="A73" s="932"/>
      <c r="B73" s="1086">
        <v>21</v>
      </c>
      <c r="C73" s="1095"/>
      <c r="D73" s="1091"/>
      <c r="E73" s="1091" t="s">
        <v>20</v>
      </c>
      <c r="F73" s="1093" t="str">
        <f>VLOOKUP(E73,$N$13:$O$17,2,0)</f>
        <v>-</v>
      </c>
      <c r="G73" s="95"/>
      <c r="H73" s="1091"/>
      <c r="I73" s="1091"/>
      <c r="J73" s="1083"/>
      <c r="K73" s="1083"/>
      <c r="L73" s="932"/>
    </row>
    <row r="74" spans="1:12" s="106" customFormat="1" ht="15.75" hidden="1" customHeight="1" outlineLevel="1">
      <c r="A74" s="932"/>
      <c r="B74" s="1086"/>
      <c r="C74" s="1095"/>
      <c r="D74" s="1091"/>
      <c r="E74" s="1091"/>
      <c r="F74" s="1093"/>
      <c r="G74" s="98"/>
      <c r="H74" s="1091"/>
      <c r="I74" s="1091"/>
      <c r="J74" s="1084"/>
      <c r="K74" s="1084"/>
      <c r="L74" s="932"/>
    </row>
    <row r="75" spans="1:12" s="106" customFormat="1" ht="15.75" hidden="1" customHeight="1" outlineLevel="1">
      <c r="A75" s="932"/>
      <c r="B75" s="1087"/>
      <c r="C75" s="1096"/>
      <c r="D75" s="1092"/>
      <c r="E75" s="1092"/>
      <c r="F75" s="1094"/>
      <c r="G75" s="103"/>
      <c r="H75" s="1092"/>
      <c r="I75" s="1092"/>
      <c r="J75" s="1085"/>
      <c r="K75" s="1085"/>
      <c r="L75" s="932"/>
    </row>
    <row r="76" spans="1:12" s="106" customFormat="1" ht="15.75" hidden="1" customHeight="1" outlineLevel="1">
      <c r="A76" s="932"/>
      <c r="B76" s="1086">
        <v>22</v>
      </c>
      <c r="C76" s="1095"/>
      <c r="D76" s="1091"/>
      <c r="E76" s="1091" t="s">
        <v>20</v>
      </c>
      <c r="F76" s="1093" t="str">
        <f>VLOOKUP(E76,$N$13:$O$17,2,0)</f>
        <v>-</v>
      </c>
      <c r="G76" s="95"/>
      <c r="H76" s="1091"/>
      <c r="I76" s="1091"/>
      <c r="J76" s="1083"/>
      <c r="K76" s="1083"/>
      <c r="L76" s="932"/>
    </row>
    <row r="77" spans="1:12" s="106" customFormat="1" ht="15.75" hidden="1" customHeight="1" outlineLevel="1">
      <c r="A77" s="932"/>
      <c r="B77" s="1086"/>
      <c r="C77" s="1095"/>
      <c r="D77" s="1091"/>
      <c r="E77" s="1091"/>
      <c r="F77" s="1093"/>
      <c r="G77" s="98"/>
      <c r="H77" s="1091"/>
      <c r="I77" s="1091"/>
      <c r="J77" s="1084"/>
      <c r="K77" s="1084"/>
      <c r="L77" s="932"/>
    </row>
    <row r="78" spans="1:12" s="106" customFormat="1" ht="15.75" hidden="1" customHeight="1" outlineLevel="1">
      <c r="A78" s="932"/>
      <c r="B78" s="1087"/>
      <c r="C78" s="1096"/>
      <c r="D78" s="1092"/>
      <c r="E78" s="1092"/>
      <c r="F78" s="1094"/>
      <c r="G78" s="103"/>
      <c r="H78" s="1092"/>
      <c r="I78" s="1092"/>
      <c r="J78" s="1085"/>
      <c r="K78" s="1085"/>
      <c r="L78" s="932"/>
    </row>
    <row r="79" spans="1:12" s="106" customFormat="1" ht="15.75" hidden="1" customHeight="1" outlineLevel="1">
      <c r="A79" s="932"/>
      <c r="B79" s="1086">
        <v>23</v>
      </c>
      <c r="C79" s="1095"/>
      <c r="D79" s="1091"/>
      <c r="E79" s="1091" t="s">
        <v>20</v>
      </c>
      <c r="F79" s="1093" t="str">
        <f>VLOOKUP(E79,$N$13:$O$17,2,0)</f>
        <v>-</v>
      </c>
      <c r="G79" s="95"/>
      <c r="H79" s="1091"/>
      <c r="I79" s="1091"/>
      <c r="J79" s="1083"/>
      <c r="K79" s="1083"/>
      <c r="L79" s="932"/>
    </row>
    <row r="80" spans="1:12" s="106" customFormat="1" ht="15.75" hidden="1" customHeight="1" outlineLevel="1">
      <c r="A80" s="932"/>
      <c r="B80" s="1086"/>
      <c r="C80" s="1095"/>
      <c r="D80" s="1091"/>
      <c r="E80" s="1091"/>
      <c r="F80" s="1093"/>
      <c r="G80" s="98"/>
      <c r="H80" s="1091"/>
      <c r="I80" s="1091"/>
      <c r="J80" s="1084"/>
      <c r="K80" s="1084"/>
      <c r="L80" s="932"/>
    </row>
    <row r="81" spans="1:12" s="106" customFormat="1" ht="15.75" hidden="1" customHeight="1" outlineLevel="1">
      <c r="A81" s="932"/>
      <c r="B81" s="1087"/>
      <c r="C81" s="1096"/>
      <c r="D81" s="1092"/>
      <c r="E81" s="1092"/>
      <c r="F81" s="1094"/>
      <c r="G81" s="103"/>
      <c r="H81" s="1092"/>
      <c r="I81" s="1092"/>
      <c r="J81" s="1085"/>
      <c r="K81" s="1085"/>
      <c r="L81" s="932"/>
    </row>
    <row r="82" spans="1:12" s="106" customFormat="1" ht="15.75" hidden="1" customHeight="1" outlineLevel="1">
      <c r="A82" s="932"/>
      <c r="B82" s="1086">
        <v>24</v>
      </c>
      <c r="C82" s="1095"/>
      <c r="D82" s="1091"/>
      <c r="E82" s="1091" t="s">
        <v>20</v>
      </c>
      <c r="F82" s="1093" t="str">
        <f>VLOOKUP(E82,$N$13:$O$17,2,0)</f>
        <v>-</v>
      </c>
      <c r="G82" s="95"/>
      <c r="H82" s="1091"/>
      <c r="I82" s="1091"/>
      <c r="J82" s="1083"/>
      <c r="K82" s="1083"/>
      <c r="L82" s="932"/>
    </row>
    <row r="83" spans="1:12" s="106" customFormat="1" ht="15.75" hidden="1" customHeight="1" outlineLevel="1">
      <c r="A83" s="932"/>
      <c r="B83" s="1086"/>
      <c r="C83" s="1095"/>
      <c r="D83" s="1091"/>
      <c r="E83" s="1091"/>
      <c r="F83" s="1093"/>
      <c r="G83" s="98"/>
      <c r="H83" s="1091"/>
      <c r="I83" s="1091"/>
      <c r="J83" s="1084"/>
      <c r="K83" s="1084"/>
      <c r="L83" s="932"/>
    </row>
    <row r="84" spans="1:12" s="106" customFormat="1" ht="15.75" hidden="1" customHeight="1" outlineLevel="1">
      <c r="A84" s="932"/>
      <c r="B84" s="1087"/>
      <c r="C84" s="1096"/>
      <c r="D84" s="1092"/>
      <c r="E84" s="1092"/>
      <c r="F84" s="1094"/>
      <c r="G84" s="103"/>
      <c r="H84" s="1092"/>
      <c r="I84" s="1092"/>
      <c r="J84" s="1085"/>
      <c r="K84" s="1085"/>
      <c r="L84" s="932"/>
    </row>
    <row r="85" spans="1:12" s="106" customFormat="1" ht="15.75" hidden="1" customHeight="1" outlineLevel="1">
      <c r="A85" s="932"/>
      <c r="B85" s="1086">
        <v>25</v>
      </c>
      <c r="C85" s="1095"/>
      <c r="D85" s="1091"/>
      <c r="E85" s="1091" t="s">
        <v>20</v>
      </c>
      <c r="F85" s="1093" t="str">
        <f>VLOOKUP(E85,$N$13:$O$17,2,0)</f>
        <v>-</v>
      </c>
      <c r="G85" s="95"/>
      <c r="H85" s="1091"/>
      <c r="I85" s="1091"/>
      <c r="J85" s="1083"/>
      <c r="K85" s="1083"/>
      <c r="L85" s="932"/>
    </row>
    <row r="86" spans="1:12" s="106" customFormat="1" ht="15.75" hidden="1" customHeight="1" outlineLevel="1">
      <c r="A86" s="932"/>
      <c r="B86" s="1086"/>
      <c r="C86" s="1095"/>
      <c r="D86" s="1091"/>
      <c r="E86" s="1091"/>
      <c r="F86" s="1093"/>
      <c r="G86" s="98"/>
      <c r="H86" s="1091"/>
      <c r="I86" s="1091"/>
      <c r="J86" s="1084"/>
      <c r="K86" s="1084"/>
      <c r="L86" s="932"/>
    </row>
    <row r="87" spans="1:12" s="106" customFormat="1" ht="15.75" hidden="1" customHeight="1" outlineLevel="1">
      <c r="A87" s="932"/>
      <c r="B87" s="1087"/>
      <c r="C87" s="1096"/>
      <c r="D87" s="1092"/>
      <c r="E87" s="1092"/>
      <c r="F87" s="1094"/>
      <c r="G87" s="103"/>
      <c r="H87" s="1092"/>
      <c r="I87" s="1092"/>
      <c r="J87" s="1085"/>
      <c r="K87" s="1085"/>
      <c r="L87" s="932"/>
    </row>
    <row r="88" spans="1:12" s="106" customFormat="1" ht="15.75" hidden="1" customHeight="1" outlineLevel="1">
      <c r="A88" s="932"/>
      <c r="B88" s="1086">
        <v>26</v>
      </c>
      <c r="C88" s="1095"/>
      <c r="D88" s="1091"/>
      <c r="E88" s="1091" t="s">
        <v>20</v>
      </c>
      <c r="F88" s="1093" t="str">
        <f>VLOOKUP(E88,$N$13:$O$17,2,0)</f>
        <v>-</v>
      </c>
      <c r="G88" s="95"/>
      <c r="H88" s="1091"/>
      <c r="I88" s="1091"/>
      <c r="J88" s="1083"/>
      <c r="K88" s="1083"/>
      <c r="L88" s="932"/>
    </row>
    <row r="89" spans="1:12" s="106" customFormat="1" ht="15.75" hidden="1" customHeight="1" outlineLevel="1">
      <c r="A89" s="932"/>
      <c r="B89" s="1086"/>
      <c r="C89" s="1095"/>
      <c r="D89" s="1091"/>
      <c r="E89" s="1091"/>
      <c r="F89" s="1093"/>
      <c r="G89" s="98"/>
      <c r="H89" s="1091"/>
      <c r="I89" s="1091"/>
      <c r="J89" s="1084"/>
      <c r="K89" s="1084"/>
      <c r="L89" s="932"/>
    </row>
    <row r="90" spans="1:12" s="106" customFormat="1" ht="15.75" hidden="1" customHeight="1" outlineLevel="1">
      <c r="A90" s="932"/>
      <c r="B90" s="1087"/>
      <c r="C90" s="1096"/>
      <c r="D90" s="1092"/>
      <c r="E90" s="1092"/>
      <c r="F90" s="1094"/>
      <c r="G90" s="103"/>
      <c r="H90" s="1092"/>
      <c r="I90" s="1092"/>
      <c r="J90" s="1085"/>
      <c r="K90" s="1085"/>
      <c r="L90" s="932"/>
    </row>
    <row r="91" spans="1:12" s="106" customFormat="1" ht="15.75" hidden="1" customHeight="1" outlineLevel="1">
      <c r="A91" s="932"/>
      <c r="B91" s="1086">
        <v>27</v>
      </c>
      <c r="C91" s="1095"/>
      <c r="D91" s="1091"/>
      <c r="E91" s="1091" t="s">
        <v>20</v>
      </c>
      <c r="F91" s="1093" t="str">
        <f>VLOOKUP(E91,$N$13:$O$17,2,0)</f>
        <v>-</v>
      </c>
      <c r="G91" s="95"/>
      <c r="H91" s="1091"/>
      <c r="I91" s="1091"/>
      <c r="J91" s="1083"/>
      <c r="K91" s="1083"/>
      <c r="L91" s="932"/>
    </row>
    <row r="92" spans="1:12" s="106" customFormat="1" ht="15.75" hidden="1" customHeight="1" outlineLevel="1">
      <c r="A92" s="932"/>
      <c r="B92" s="1086"/>
      <c r="C92" s="1095"/>
      <c r="D92" s="1091"/>
      <c r="E92" s="1091"/>
      <c r="F92" s="1093"/>
      <c r="G92" s="98"/>
      <c r="H92" s="1091"/>
      <c r="I92" s="1091"/>
      <c r="J92" s="1084"/>
      <c r="K92" s="1084"/>
      <c r="L92" s="932"/>
    </row>
    <row r="93" spans="1:12" s="106" customFormat="1" ht="15.75" hidden="1" customHeight="1" outlineLevel="1">
      <c r="A93" s="932"/>
      <c r="B93" s="1087"/>
      <c r="C93" s="1096"/>
      <c r="D93" s="1092"/>
      <c r="E93" s="1092"/>
      <c r="F93" s="1094"/>
      <c r="G93" s="103"/>
      <c r="H93" s="1092"/>
      <c r="I93" s="1092"/>
      <c r="J93" s="1085"/>
      <c r="K93" s="1085"/>
      <c r="L93" s="932"/>
    </row>
    <row r="94" spans="1:12" s="106" customFormat="1" ht="15.75" hidden="1" customHeight="1" outlineLevel="1">
      <c r="A94" s="932"/>
      <c r="B94" s="1086">
        <v>28</v>
      </c>
      <c r="C94" s="1095"/>
      <c r="D94" s="1091"/>
      <c r="E94" s="1091" t="s">
        <v>20</v>
      </c>
      <c r="F94" s="1093" t="str">
        <f>VLOOKUP(E94,$N$13:$O$17,2,0)</f>
        <v>-</v>
      </c>
      <c r="G94" s="95"/>
      <c r="H94" s="1091"/>
      <c r="I94" s="1091"/>
      <c r="J94" s="1083"/>
      <c r="K94" s="1083"/>
      <c r="L94" s="932"/>
    </row>
    <row r="95" spans="1:12" s="106" customFormat="1" ht="15.75" hidden="1" customHeight="1" outlineLevel="1">
      <c r="A95" s="932"/>
      <c r="B95" s="1086"/>
      <c r="C95" s="1095"/>
      <c r="D95" s="1091"/>
      <c r="E95" s="1091"/>
      <c r="F95" s="1093"/>
      <c r="G95" s="98"/>
      <c r="H95" s="1091"/>
      <c r="I95" s="1091"/>
      <c r="J95" s="1084"/>
      <c r="K95" s="1084"/>
      <c r="L95" s="932"/>
    </row>
    <row r="96" spans="1:12" s="106" customFormat="1" ht="15.75" hidden="1" customHeight="1" outlineLevel="1">
      <c r="A96" s="932"/>
      <c r="B96" s="1087"/>
      <c r="C96" s="1096"/>
      <c r="D96" s="1092"/>
      <c r="E96" s="1092"/>
      <c r="F96" s="1094"/>
      <c r="G96" s="103"/>
      <c r="H96" s="1092"/>
      <c r="I96" s="1092"/>
      <c r="J96" s="1085"/>
      <c r="K96" s="1085"/>
      <c r="L96" s="932"/>
    </row>
    <row r="97" spans="1:12" s="106" customFormat="1" ht="15.75" hidden="1" customHeight="1" outlineLevel="1">
      <c r="A97" s="932"/>
      <c r="B97" s="1086">
        <v>29</v>
      </c>
      <c r="C97" s="1095"/>
      <c r="D97" s="1091"/>
      <c r="E97" s="1091" t="s">
        <v>20</v>
      </c>
      <c r="F97" s="1093" t="str">
        <f>VLOOKUP(E97,$N$13:$O$17,2,0)</f>
        <v>-</v>
      </c>
      <c r="G97" s="95"/>
      <c r="H97" s="1091"/>
      <c r="I97" s="1091"/>
      <c r="J97" s="1083"/>
      <c r="K97" s="1083"/>
      <c r="L97" s="932"/>
    </row>
    <row r="98" spans="1:12" s="106" customFormat="1" ht="15.75" hidden="1" customHeight="1" outlineLevel="1">
      <c r="A98" s="932"/>
      <c r="B98" s="1086"/>
      <c r="C98" s="1095"/>
      <c r="D98" s="1091"/>
      <c r="E98" s="1091"/>
      <c r="F98" s="1093"/>
      <c r="G98" s="98"/>
      <c r="H98" s="1091"/>
      <c r="I98" s="1091"/>
      <c r="J98" s="1084"/>
      <c r="K98" s="1084"/>
      <c r="L98" s="932"/>
    </row>
    <row r="99" spans="1:12" s="106" customFormat="1" ht="15.75" hidden="1" customHeight="1" outlineLevel="1">
      <c r="A99" s="932"/>
      <c r="B99" s="1087"/>
      <c r="C99" s="1096"/>
      <c r="D99" s="1092"/>
      <c r="E99" s="1092"/>
      <c r="F99" s="1094"/>
      <c r="G99" s="103"/>
      <c r="H99" s="1092"/>
      <c r="I99" s="1092"/>
      <c r="J99" s="1085"/>
      <c r="K99" s="1085"/>
      <c r="L99" s="932"/>
    </row>
    <row r="100" spans="1:12" s="106" customFormat="1" ht="15.75" hidden="1" customHeight="1" outlineLevel="1">
      <c r="A100" s="932"/>
      <c r="B100" s="1086">
        <v>30</v>
      </c>
      <c r="C100" s="1095"/>
      <c r="D100" s="1091"/>
      <c r="E100" s="1091" t="s">
        <v>20</v>
      </c>
      <c r="F100" s="1093" t="str">
        <f>VLOOKUP(E100,$N$13:$O$17,2,0)</f>
        <v>-</v>
      </c>
      <c r="G100" s="95"/>
      <c r="H100" s="1091"/>
      <c r="I100" s="1091"/>
      <c r="J100" s="1083"/>
      <c r="K100" s="1083"/>
      <c r="L100" s="932"/>
    </row>
    <row r="101" spans="1:12" s="106" customFormat="1" ht="15.75" hidden="1" customHeight="1" outlineLevel="1">
      <c r="A101" s="932"/>
      <c r="B101" s="1086"/>
      <c r="C101" s="1095"/>
      <c r="D101" s="1091"/>
      <c r="E101" s="1091"/>
      <c r="F101" s="1093"/>
      <c r="G101" s="98"/>
      <c r="H101" s="1091"/>
      <c r="I101" s="1091"/>
      <c r="J101" s="1084"/>
      <c r="K101" s="1084"/>
      <c r="L101" s="932"/>
    </row>
    <row r="102" spans="1:12" s="106" customFormat="1" ht="15.75" hidden="1" customHeight="1" outlineLevel="1">
      <c r="A102" s="932"/>
      <c r="B102" s="1087"/>
      <c r="C102" s="1096"/>
      <c r="D102" s="1092"/>
      <c r="E102" s="1092"/>
      <c r="F102" s="1094"/>
      <c r="G102" s="103"/>
      <c r="H102" s="1092"/>
      <c r="I102" s="1092"/>
      <c r="J102" s="1085"/>
      <c r="K102" s="1085"/>
      <c r="L102" s="932"/>
    </row>
    <row r="103" spans="1:12" s="106" customFormat="1" ht="15.75" hidden="1" customHeight="1" outlineLevel="1">
      <c r="A103" s="932"/>
      <c r="B103" s="1086">
        <v>31</v>
      </c>
      <c r="C103" s="1095"/>
      <c r="D103" s="1091"/>
      <c r="E103" s="1091" t="s">
        <v>20</v>
      </c>
      <c r="F103" s="1093" t="str">
        <f>VLOOKUP(E103,$N$13:$O$17,2,0)</f>
        <v>-</v>
      </c>
      <c r="G103" s="95"/>
      <c r="H103" s="1091"/>
      <c r="I103" s="1091"/>
      <c r="J103" s="1083"/>
      <c r="K103" s="1083"/>
      <c r="L103" s="932"/>
    </row>
    <row r="104" spans="1:12" s="106" customFormat="1" ht="15.75" hidden="1" customHeight="1" outlineLevel="1">
      <c r="A104" s="932"/>
      <c r="B104" s="1086"/>
      <c r="C104" s="1095"/>
      <c r="D104" s="1091"/>
      <c r="E104" s="1091"/>
      <c r="F104" s="1093"/>
      <c r="G104" s="98"/>
      <c r="H104" s="1091"/>
      <c r="I104" s="1091"/>
      <c r="J104" s="1084"/>
      <c r="K104" s="1084"/>
      <c r="L104" s="932"/>
    </row>
    <row r="105" spans="1:12" s="106" customFormat="1" ht="15.75" hidden="1" customHeight="1" outlineLevel="1">
      <c r="A105" s="932"/>
      <c r="B105" s="1087"/>
      <c r="C105" s="1096"/>
      <c r="D105" s="1092"/>
      <c r="E105" s="1092"/>
      <c r="F105" s="1094"/>
      <c r="G105" s="103"/>
      <c r="H105" s="1092"/>
      <c r="I105" s="1092"/>
      <c r="J105" s="1085"/>
      <c r="K105" s="1085"/>
      <c r="L105" s="932"/>
    </row>
    <row r="106" spans="1:12" s="106" customFormat="1" ht="15.75" hidden="1" customHeight="1" outlineLevel="1">
      <c r="A106" s="932"/>
      <c r="B106" s="1086">
        <v>32</v>
      </c>
      <c r="C106" s="1095"/>
      <c r="D106" s="1091"/>
      <c r="E106" s="1091" t="s">
        <v>20</v>
      </c>
      <c r="F106" s="1093" t="str">
        <f>VLOOKUP(E106,$N$13:$O$17,2,0)</f>
        <v>-</v>
      </c>
      <c r="G106" s="95"/>
      <c r="H106" s="1091"/>
      <c r="I106" s="1091"/>
      <c r="J106" s="1083"/>
      <c r="K106" s="1083"/>
      <c r="L106" s="932"/>
    </row>
    <row r="107" spans="1:12" s="106" customFormat="1" ht="15.75" hidden="1" customHeight="1" outlineLevel="1">
      <c r="A107" s="932"/>
      <c r="B107" s="1086"/>
      <c r="C107" s="1095"/>
      <c r="D107" s="1091"/>
      <c r="E107" s="1091"/>
      <c r="F107" s="1093"/>
      <c r="G107" s="98"/>
      <c r="H107" s="1091"/>
      <c r="I107" s="1091"/>
      <c r="J107" s="1084"/>
      <c r="K107" s="1084"/>
      <c r="L107" s="932"/>
    </row>
    <row r="108" spans="1:12" s="106" customFormat="1" ht="15.75" hidden="1" customHeight="1" outlineLevel="1">
      <c r="A108" s="932"/>
      <c r="B108" s="1087"/>
      <c r="C108" s="1096"/>
      <c r="D108" s="1092"/>
      <c r="E108" s="1092"/>
      <c r="F108" s="1094"/>
      <c r="G108" s="103"/>
      <c r="H108" s="1092"/>
      <c r="I108" s="1092"/>
      <c r="J108" s="1085"/>
      <c r="K108" s="1085"/>
      <c r="L108" s="932"/>
    </row>
    <row r="109" spans="1:12" s="106" customFormat="1" ht="15.75" hidden="1" customHeight="1" outlineLevel="1">
      <c r="A109" s="932"/>
      <c r="B109" s="1086">
        <v>33</v>
      </c>
      <c r="C109" s="1095"/>
      <c r="D109" s="1091"/>
      <c r="E109" s="1091" t="s">
        <v>20</v>
      </c>
      <c r="F109" s="1093" t="str">
        <f>VLOOKUP(E109,$N$13:$O$17,2,0)</f>
        <v>-</v>
      </c>
      <c r="G109" s="95"/>
      <c r="H109" s="1091"/>
      <c r="I109" s="1091"/>
      <c r="J109" s="1083"/>
      <c r="K109" s="1083"/>
      <c r="L109" s="932"/>
    </row>
    <row r="110" spans="1:12" s="106" customFormat="1" ht="15.75" hidden="1" customHeight="1" outlineLevel="1">
      <c r="A110" s="932"/>
      <c r="B110" s="1086"/>
      <c r="C110" s="1095"/>
      <c r="D110" s="1091"/>
      <c r="E110" s="1091"/>
      <c r="F110" s="1093"/>
      <c r="G110" s="98"/>
      <c r="H110" s="1091"/>
      <c r="I110" s="1091"/>
      <c r="J110" s="1084"/>
      <c r="K110" s="1084"/>
      <c r="L110" s="932"/>
    </row>
    <row r="111" spans="1:12" s="106" customFormat="1" ht="15.75" hidden="1" customHeight="1" outlineLevel="1">
      <c r="A111" s="932"/>
      <c r="B111" s="1087"/>
      <c r="C111" s="1096"/>
      <c r="D111" s="1092"/>
      <c r="E111" s="1092"/>
      <c r="F111" s="1094"/>
      <c r="G111" s="103"/>
      <c r="H111" s="1092"/>
      <c r="I111" s="1092"/>
      <c r="J111" s="1085"/>
      <c r="K111" s="1085"/>
      <c r="L111" s="932"/>
    </row>
    <row r="112" spans="1:12" s="106" customFormat="1" ht="15.75" hidden="1" customHeight="1" outlineLevel="1">
      <c r="A112" s="932"/>
      <c r="B112" s="1086">
        <v>34</v>
      </c>
      <c r="C112" s="1095"/>
      <c r="D112" s="1091"/>
      <c r="E112" s="1091" t="s">
        <v>20</v>
      </c>
      <c r="F112" s="1093" t="str">
        <f>VLOOKUP(E112,$N$13:$O$17,2,0)</f>
        <v>-</v>
      </c>
      <c r="G112" s="95"/>
      <c r="H112" s="1091"/>
      <c r="I112" s="1091"/>
      <c r="J112" s="1083"/>
      <c r="K112" s="1083"/>
      <c r="L112" s="932"/>
    </row>
    <row r="113" spans="1:12" s="106" customFormat="1" ht="15.75" hidden="1" customHeight="1" outlineLevel="1">
      <c r="A113" s="932"/>
      <c r="B113" s="1086"/>
      <c r="C113" s="1095"/>
      <c r="D113" s="1091"/>
      <c r="E113" s="1091"/>
      <c r="F113" s="1093"/>
      <c r="G113" s="98"/>
      <c r="H113" s="1091"/>
      <c r="I113" s="1091"/>
      <c r="J113" s="1084"/>
      <c r="K113" s="1084"/>
      <c r="L113" s="932"/>
    </row>
    <row r="114" spans="1:12" s="106" customFormat="1" ht="15.75" hidden="1" customHeight="1" outlineLevel="1">
      <c r="A114" s="932"/>
      <c r="B114" s="1087"/>
      <c r="C114" s="1096"/>
      <c r="D114" s="1092"/>
      <c r="E114" s="1092"/>
      <c r="F114" s="1094"/>
      <c r="G114" s="103"/>
      <c r="H114" s="1092"/>
      <c r="I114" s="1092"/>
      <c r="J114" s="1085"/>
      <c r="K114" s="1085"/>
      <c r="L114" s="932"/>
    </row>
    <row r="115" spans="1:12" s="106" customFormat="1" ht="15.75" hidden="1" customHeight="1" outlineLevel="1">
      <c r="A115" s="932"/>
      <c r="B115" s="1086">
        <v>35</v>
      </c>
      <c r="C115" s="1095"/>
      <c r="D115" s="1091"/>
      <c r="E115" s="1091" t="s">
        <v>20</v>
      </c>
      <c r="F115" s="1093" t="str">
        <f>VLOOKUP(E115,$N$13:$O$17,2,0)</f>
        <v>-</v>
      </c>
      <c r="G115" s="95"/>
      <c r="H115" s="1091"/>
      <c r="I115" s="1091"/>
      <c r="J115" s="1083"/>
      <c r="K115" s="1083"/>
      <c r="L115" s="932"/>
    </row>
    <row r="116" spans="1:12" s="106" customFormat="1" ht="15.75" hidden="1" customHeight="1" outlineLevel="1">
      <c r="A116" s="932"/>
      <c r="B116" s="1086"/>
      <c r="C116" s="1095"/>
      <c r="D116" s="1091"/>
      <c r="E116" s="1091"/>
      <c r="F116" s="1093"/>
      <c r="G116" s="98"/>
      <c r="H116" s="1091"/>
      <c r="I116" s="1091"/>
      <c r="J116" s="1084"/>
      <c r="K116" s="1084"/>
      <c r="L116" s="932"/>
    </row>
    <row r="117" spans="1:12" s="106" customFormat="1" ht="15.75" hidden="1" customHeight="1" outlineLevel="1">
      <c r="A117" s="932"/>
      <c r="B117" s="1087"/>
      <c r="C117" s="1096"/>
      <c r="D117" s="1092"/>
      <c r="E117" s="1092"/>
      <c r="F117" s="1094"/>
      <c r="G117" s="103"/>
      <c r="H117" s="1092"/>
      <c r="I117" s="1092"/>
      <c r="J117" s="1085"/>
      <c r="K117" s="1085"/>
      <c r="L117" s="932"/>
    </row>
    <row r="118" spans="1:12" s="106" customFormat="1" ht="15.75" hidden="1" customHeight="1" outlineLevel="1">
      <c r="A118" s="932"/>
      <c r="B118" s="1086">
        <v>36</v>
      </c>
      <c r="C118" s="1095"/>
      <c r="D118" s="1091"/>
      <c r="E118" s="1091" t="s">
        <v>20</v>
      </c>
      <c r="F118" s="1093" t="str">
        <f>VLOOKUP(E118,$N$13:$O$17,2,0)</f>
        <v>-</v>
      </c>
      <c r="G118" s="95"/>
      <c r="H118" s="1091"/>
      <c r="I118" s="1091"/>
      <c r="J118" s="1083"/>
      <c r="K118" s="1083"/>
      <c r="L118" s="932"/>
    </row>
    <row r="119" spans="1:12" s="106" customFormat="1" ht="15.75" hidden="1" customHeight="1" outlineLevel="1">
      <c r="A119" s="932"/>
      <c r="B119" s="1086"/>
      <c r="C119" s="1095"/>
      <c r="D119" s="1091"/>
      <c r="E119" s="1091"/>
      <c r="F119" s="1093"/>
      <c r="G119" s="98"/>
      <c r="H119" s="1091"/>
      <c r="I119" s="1091"/>
      <c r="J119" s="1084"/>
      <c r="K119" s="1084"/>
      <c r="L119" s="932"/>
    </row>
    <row r="120" spans="1:12" s="106" customFormat="1" ht="15.75" hidden="1" customHeight="1" outlineLevel="1">
      <c r="A120" s="932"/>
      <c r="B120" s="1087"/>
      <c r="C120" s="1096"/>
      <c r="D120" s="1092"/>
      <c r="E120" s="1092"/>
      <c r="F120" s="1094"/>
      <c r="G120" s="103"/>
      <c r="H120" s="1092"/>
      <c r="I120" s="1092"/>
      <c r="J120" s="1085"/>
      <c r="K120" s="1085"/>
      <c r="L120" s="932"/>
    </row>
    <row r="121" spans="1:12" s="106" customFormat="1" ht="15.75" hidden="1" customHeight="1" outlineLevel="1">
      <c r="A121" s="932"/>
      <c r="B121" s="1086">
        <v>37</v>
      </c>
      <c r="C121" s="1095"/>
      <c r="D121" s="1091"/>
      <c r="E121" s="1091" t="s">
        <v>20</v>
      </c>
      <c r="F121" s="1093" t="str">
        <f>VLOOKUP(E121,$N$13:$O$17,2,0)</f>
        <v>-</v>
      </c>
      <c r="G121" s="95"/>
      <c r="H121" s="1091"/>
      <c r="I121" s="1091"/>
      <c r="J121" s="1083"/>
      <c r="K121" s="1083"/>
      <c r="L121" s="932"/>
    </row>
    <row r="122" spans="1:12" s="106" customFormat="1" ht="15.75" hidden="1" customHeight="1" outlineLevel="1">
      <c r="A122" s="932"/>
      <c r="B122" s="1086"/>
      <c r="C122" s="1095"/>
      <c r="D122" s="1091"/>
      <c r="E122" s="1091"/>
      <c r="F122" s="1093"/>
      <c r="G122" s="98"/>
      <c r="H122" s="1091"/>
      <c r="I122" s="1091"/>
      <c r="J122" s="1084"/>
      <c r="K122" s="1084"/>
      <c r="L122" s="932"/>
    </row>
    <row r="123" spans="1:12" s="106" customFormat="1" ht="15.75" hidden="1" customHeight="1" outlineLevel="1">
      <c r="A123" s="932"/>
      <c r="B123" s="1087"/>
      <c r="C123" s="1096"/>
      <c r="D123" s="1092"/>
      <c r="E123" s="1092"/>
      <c r="F123" s="1094"/>
      <c r="G123" s="103"/>
      <c r="H123" s="1092"/>
      <c r="I123" s="1092"/>
      <c r="J123" s="1085"/>
      <c r="K123" s="1085"/>
      <c r="L123" s="932"/>
    </row>
    <row r="124" spans="1:12" s="106" customFormat="1" ht="15.75" hidden="1" customHeight="1" outlineLevel="1">
      <c r="A124" s="932"/>
      <c r="B124" s="1086">
        <v>38</v>
      </c>
      <c r="C124" s="1095"/>
      <c r="D124" s="1091"/>
      <c r="E124" s="1091" t="s">
        <v>20</v>
      </c>
      <c r="F124" s="1093" t="str">
        <f>VLOOKUP(E124,$N$13:$O$17,2,0)</f>
        <v>-</v>
      </c>
      <c r="G124" s="95"/>
      <c r="H124" s="1091"/>
      <c r="I124" s="1091"/>
      <c r="J124" s="1083"/>
      <c r="K124" s="1083"/>
      <c r="L124" s="932"/>
    </row>
    <row r="125" spans="1:12" s="106" customFormat="1" ht="15.75" hidden="1" customHeight="1" outlineLevel="1">
      <c r="A125" s="932"/>
      <c r="B125" s="1086"/>
      <c r="C125" s="1095"/>
      <c r="D125" s="1091"/>
      <c r="E125" s="1091"/>
      <c r="F125" s="1093"/>
      <c r="G125" s="98"/>
      <c r="H125" s="1091"/>
      <c r="I125" s="1091"/>
      <c r="J125" s="1084"/>
      <c r="K125" s="1084"/>
      <c r="L125" s="932"/>
    </row>
    <row r="126" spans="1:12" s="106" customFormat="1" ht="15.75" hidden="1" customHeight="1" outlineLevel="1">
      <c r="A126" s="932"/>
      <c r="B126" s="1087"/>
      <c r="C126" s="1096"/>
      <c r="D126" s="1092"/>
      <c r="E126" s="1092"/>
      <c r="F126" s="1094"/>
      <c r="G126" s="103"/>
      <c r="H126" s="1092"/>
      <c r="I126" s="1092"/>
      <c r="J126" s="1085"/>
      <c r="K126" s="1085"/>
      <c r="L126" s="932"/>
    </row>
    <row r="127" spans="1:12" s="106" customFormat="1" ht="15.75" hidden="1" customHeight="1" outlineLevel="1">
      <c r="A127" s="932"/>
      <c r="B127" s="1086">
        <v>39</v>
      </c>
      <c r="C127" s="1095"/>
      <c r="D127" s="1091"/>
      <c r="E127" s="1091" t="s">
        <v>20</v>
      </c>
      <c r="F127" s="1093" t="str">
        <f>VLOOKUP(E127,$N$13:$O$17,2,0)</f>
        <v>-</v>
      </c>
      <c r="G127" s="95"/>
      <c r="H127" s="1091"/>
      <c r="I127" s="1091"/>
      <c r="J127" s="1083"/>
      <c r="K127" s="1083"/>
      <c r="L127" s="932"/>
    </row>
    <row r="128" spans="1:12" s="106" customFormat="1" ht="15.75" hidden="1" customHeight="1" outlineLevel="1">
      <c r="A128" s="932"/>
      <c r="B128" s="1086"/>
      <c r="C128" s="1095"/>
      <c r="D128" s="1091"/>
      <c r="E128" s="1091"/>
      <c r="F128" s="1093"/>
      <c r="G128" s="98"/>
      <c r="H128" s="1091"/>
      <c r="I128" s="1091"/>
      <c r="J128" s="1084"/>
      <c r="K128" s="1084"/>
      <c r="L128" s="932"/>
    </row>
    <row r="129" spans="1:12" s="106" customFormat="1" ht="15.75" hidden="1" customHeight="1" outlineLevel="1">
      <c r="A129" s="932"/>
      <c r="B129" s="1087"/>
      <c r="C129" s="1096"/>
      <c r="D129" s="1092"/>
      <c r="E129" s="1092"/>
      <c r="F129" s="1094"/>
      <c r="G129" s="103"/>
      <c r="H129" s="1092"/>
      <c r="I129" s="1092"/>
      <c r="J129" s="1085"/>
      <c r="K129" s="1085"/>
      <c r="L129" s="932"/>
    </row>
    <row r="130" spans="1:12" s="106" customFormat="1" ht="15.75" hidden="1" customHeight="1" outlineLevel="1">
      <c r="A130" s="932"/>
      <c r="B130" s="1086">
        <v>40</v>
      </c>
      <c r="C130" s="1095"/>
      <c r="D130" s="1091"/>
      <c r="E130" s="1091" t="s">
        <v>20</v>
      </c>
      <c r="F130" s="1093" t="str">
        <f>VLOOKUP(E130,$N$13:$O$17,2,0)</f>
        <v>-</v>
      </c>
      <c r="G130" s="95"/>
      <c r="H130" s="1091"/>
      <c r="I130" s="1091"/>
      <c r="J130" s="1083"/>
      <c r="K130" s="1083"/>
      <c r="L130" s="932"/>
    </row>
    <row r="131" spans="1:12" s="106" customFormat="1" ht="15.75" hidden="1" customHeight="1" outlineLevel="1">
      <c r="A131" s="932"/>
      <c r="B131" s="1086"/>
      <c r="C131" s="1095"/>
      <c r="D131" s="1091"/>
      <c r="E131" s="1091"/>
      <c r="F131" s="1093"/>
      <c r="G131" s="98"/>
      <c r="H131" s="1091"/>
      <c r="I131" s="1091"/>
      <c r="J131" s="1084"/>
      <c r="K131" s="1084"/>
      <c r="L131" s="932"/>
    </row>
    <row r="132" spans="1:12" s="106" customFormat="1" ht="15.75" hidden="1" customHeight="1" outlineLevel="1">
      <c r="A132" s="932"/>
      <c r="B132" s="1087"/>
      <c r="C132" s="1096"/>
      <c r="D132" s="1092"/>
      <c r="E132" s="1092"/>
      <c r="F132" s="1094"/>
      <c r="G132" s="103"/>
      <c r="H132" s="1092"/>
      <c r="I132" s="1092"/>
      <c r="J132" s="1085"/>
      <c r="K132" s="1085"/>
      <c r="L132" s="932"/>
    </row>
    <row r="133" spans="1:12" s="106" customFormat="1" ht="15.75" hidden="1" customHeight="1" outlineLevel="1">
      <c r="A133" s="932"/>
      <c r="B133" s="1086">
        <v>41</v>
      </c>
      <c r="C133" s="1095"/>
      <c r="D133" s="1091"/>
      <c r="E133" s="1091" t="s">
        <v>20</v>
      </c>
      <c r="F133" s="1093" t="str">
        <f>VLOOKUP(E133,$N$13:$O$17,2,0)</f>
        <v>-</v>
      </c>
      <c r="G133" s="95"/>
      <c r="H133" s="1091"/>
      <c r="I133" s="1091"/>
      <c r="J133" s="1083"/>
      <c r="K133" s="1083"/>
      <c r="L133" s="932"/>
    </row>
    <row r="134" spans="1:12" s="106" customFormat="1" ht="15.75" hidden="1" customHeight="1" outlineLevel="1">
      <c r="A134" s="932"/>
      <c r="B134" s="1086"/>
      <c r="C134" s="1095"/>
      <c r="D134" s="1091"/>
      <c r="E134" s="1091"/>
      <c r="F134" s="1093"/>
      <c r="G134" s="98"/>
      <c r="H134" s="1091"/>
      <c r="I134" s="1091"/>
      <c r="J134" s="1084"/>
      <c r="K134" s="1084"/>
      <c r="L134" s="932"/>
    </row>
    <row r="135" spans="1:12" s="106" customFormat="1" ht="15.75" hidden="1" customHeight="1" outlineLevel="1">
      <c r="A135" s="932"/>
      <c r="B135" s="1087"/>
      <c r="C135" s="1096"/>
      <c r="D135" s="1092"/>
      <c r="E135" s="1092"/>
      <c r="F135" s="1094"/>
      <c r="G135" s="103"/>
      <c r="H135" s="1092"/>
      <c r="I135" s="1092"/>
      <c r="J135" s="1085"/>
      <c r="K135" s="1085"/>
      <c r="L135" s="932"/>
    </row>
    <row r="136" spans="1:12" s="106" customFormat="1" ht="15.75" hidden="1" customHeight="1" outlineLevel="1">
      <c r="A136" s="932"/>
      <c r="B136" s="1086">
        <v>42</v>
      </c>
      <c r="C136" s="1095"/>
      <c r="D136" s="1091"/>
      <c r="E136" s="1091" t="s">
        <v>20</v>
      </c>
      <c r="F136" s="1093" t="str">
        <f>VLOOKUP(E136,$N$13:$O$17,2,0)</f>
        <v>-</v>
      </c>
      <c r="G136" s="95"/>
      <c r="H136" s="1091"/>
      <c r="I136" s="1091"/>
      <c r="J136" s="1083"/>
      <c r="K136" s="1083"/>
      <c r="L136" s="932"/>
    </row>
    <row r="137" spans="1:12" s="106" customFormat="1" ht="15.75" hidden="1" customHeight="1" outlineLevel="1">
      <c r="A137" s="932"/>
      <c r="B137" s="1086"/>
      <c r="C137" s="1095"/>
      <c r="D137" s="1091"/>
      <c r="E137" s="1091"/>
      <c r="F137" s="1093"/>
      <c r="G137" s="98"/>
      <c r="H137" s="1091"/>
      <c r="I137" s="1091"/>
      <c r="J137" s="1084"/>
      <c r="K137" s="1084"/>
      <c r="L137" s="932"/>
    </row>
    <row r="138" spans="1:12" s="106" customFormat="1" ht="15.75" hidden="1" customHeight="1" outlineLevel="1">
      <c r="A138" s="932"/>
      <c r="B138" s="1087"/>
      <c r="C138" s="1096"/>
      <c r="D138" s="1092"/>
      <c r="E138" s="1092"/>
      <c r="F138" s="1094"/>
      <c r="G138" s="103"/>
      <c r="H138" s="1092"/>
      <c r="I138" s="1092"/>
      <c r="J138" s="1085"/>
      <c r="K138" s="1085"/>
      <c r="L138" s="932"/>
    </row>
    <row r="139" spans="1:12" s="106" customFormat="1" ht="15.75" hidden="1" customHeight="1" outlineLevel="1">
      <c r="A139" s="932"/>
      <c r="B139" s="1086">
        <v>43</v>
      </c>
      <c r="C139" s="1095"/>
      <c r="D139" s="1091"/>
      <c r="E139" s="1091" t="s">
        <v>20</v>
      </c>
      <c r="F139" s="1093" t="str">
        <f>VLOOKUP(E139,$N$13:$O$17,2,0)</f>
        <v>-</v>
      </c>
      <c r="G139" s="95"/>
      <c r="H139" s="1091"/>
      <c r="I139" s="1091"/>
      <c r="J139" s="1083"/>
      <c r="K139" s="1083"/>
      <c r="L139" s="932"/>
    </row>
    <row r="140" spans="1:12" s="106" customFormat="1" ht="15.75" hidden="1" customHeight="1" outlineLevel="1">
      <c r="A140" s="932"/>
      <c r="B140" s="1086"/>
      <c r="C140" s="1095"/>
      <c r="D140" s="1091"/>
      <c r="E140" s="1091"/>
      <c r="F140" s="1093"/>
      <c r="G140" s="98"/>
      <c r="H140" s="1091"/>
      <c r="I140" s="1091"/>
      <c r="J140" s="1084"/>
      <c r="K140" s="1084"/>
      <c r="L140" s="932"/>
    </row>
    <row r="141" spans="1:12" s="106" customFormat="1" ht="15.75" hidden="1" customHeight="1" outlineLevel="1">
      <c r="A141" s="932"/>
      <c r="B141" s="1087"/>
      <c r="C141" s="1096"/>
      <c r="D141" s="1092"/>
      <c r="E141" s="1092"/>
      <c r="F141" s="1094"/>
      <c r="G141" s="103"/>
      <c r="H141" s="1092"/>
      <c r="I141" s="1092"/>
      <c r="J141" s="1085"/>
      <c r="K141" s="1085"/>
      <c r="L141" s="932"/>
    </row>
    <row r="142" spans="1:12" s="106" customFormat="1" ht="15.75" hidden="1" customHeight="1" outlineLevel="1">
      <c r="A142" s="932"/>
      <c r="B142" s="1086">
        <v>44</v>
      </c>
      <c r="C142" s="1095"/>
      <c r="D142" s="1091"/>
      <c r="E142" s="1091" t="s">
        <v>20</v>
      </c>
      <c r="F142" s="1093" t="str">
        <f>VLOOKUP(E142,$N$13:$O$17,2,0)</f>
        <v>-</v>
      </c>
      <c r="G142" s="95"/>
      <c r="H142" s="839"/>
      <c r="I142" s="1091"/>
      <c r="J142" s="1083"/>
      <c r="K142" s="1083"/>
      <c r="L142" s="932"/>
    </row>
    <row r="143" spans="1:12" s="106" customFormat="1" ht="15.75" hidden="1" customHeight="1" outlineLevel="1">
      <c r="A143" s="932"/>
      <c r="B143" s="1086"/>
      <c r="C143" s="1095"/>
      <c r="D143" s="1091"/>
      <c r="E143" s="1091"/>
      <c r="F143" s="1093"/>
      <c r="G143" s="98"/>
      <c r="H143" s="839"/>
      <c r="I143" s="1091"/>
      <c r="J143" s="1084"/>
      <c r="K143" s="1084"/>
      <c r="L143" s="932"/>
    </row>
    <row r="144" spans="1:12" s="106" customFormat="1" ht="15.75" hidden="1" customHeight="1" outlineLevel="1">
      <c r="A144" s="932"/>
      <c r="B144" s="1087"/>
      <c r="C144" s="1096"/>
      <c r="D144" s="1092"/>
      <c r="E144" s="1092"/>
      <c r="F144" s="1094"/>
      <c r="G144" s="103"/>
      <c r="H144" s="840"/>
      <c r="I144" s="1092"/>
      <c r="J144" s="1085"/>
      <c r="K144" s="1085"/>
      <c r="L144" s="932"/>
    </row>
    <row r="145" spans="1:12" s="106" customFormat="1" ht="15.75" hidden="1" customHeight="1" outlineLevel="1">
      <c r="A145" s="932"/>
      <c r="B145" s="1086">
        <v>45</v>
      </c>
      <c r="C145" s="1095"/>
      <c r="D145" s="1091"/>
      <c r="E145" s="1091" t="s">
        <v>20</v>
      </c>
      <c r="F145" s="1093" t="str">
        <f>VLOOKUP(E145,$N$13:$O$17,2,0)</f>
        <v>-</v>
      </c>
      <c r="G145" s="95"/>
      <c r="H145" s="839"/>
      <c r="I145" s="1091"/>
      <c r="J145" s="1083"/>
      <c r="K145" s="1083"/>
      <c r="L145" s="932"/>
    </row>
    <row r="146" spans="1:12" s="106" customFormat="1" ht="15.75" hidden="1" customHeight="1" outlineLevel="1">
      <c r="A146" s="932"/>
      <c r="B146" s="1086"/>
      <c r="C146" s="1095"/>
      <c r="D146" s="1091"/>
      <c r="E146" s="1091"/>
      <c r="F146" s="1093"/>
      <c r="G146" s="98"/>
      <c r="H146" s="839"/>
      <c r="I146" s="1091"/>
      <c r="J146" s="1084"/>
      <c r="K146" s="1084"/>
      <c r="L146" s="932"/>
    </row>
    <row r="147" spans="1:12" s="106" customFormat="1" ht="15.75" hidden="1" customHeight="1" outlineLevel="1">
      <c r="A147" s="932"/>
      <c r="B147" s="1087"/>
      <c r="C147" s="1096"/>
      <c r="D147" s="1092"/>
      <c r="E147" s="1092"/>
      <c r="F147" s="1094"/>
      <c r="G147" s="103"/>
      <c r="H147" s="840"/>
      <c r="I147" s="1092"/>
      <c r="J147" s="1085"/>
      <c r="K147" s="1085"/>
      <c r="L147" s="932"/>
    </row>
    <row r="148" spans="1:12" s="106" customFormat="1" ht="15.75" hidden="1" customHeight="1" outlineLevel="1">
      <c r="A148" s="932"/>
      <c r="B148" s="1086">
        <v>46</v>
      </c>
      <c r="C148" s="1095"/>
      <c r="D148" s="1091"/>
      <c r="E148" s="1091" t="s">
        <v>20</v>
      </c>
      <c r="F148" s="1093" t="str">
        <f>VLOOKUP(E148,$N$13:$O$17,2,0)</f>
        <v>-</v>
      </c>
      <c r="G148" s="95"/>
      <c r="H148" s="839"/>
      <c r="I148" s="1091"/>
      <c r="J148" s="1083"/>
      <c r="K148" s="1083"/>
      <c r="L148" s="932"/>
    </row>
    <row r="149" spans="1:12" s="106" customFormat="1" ht="15.75" hidden="1" customHeight="1" outlineLevel="1">
      <c r="A149" s="932"/>
      <c r="B149" s="1086"/>
      <c r="C149" s="1095"/>
      <c r="D149" s="1091"/>
      <c r="E149" s="1091"/>
      <c r="F149" s="1093"/>
      <c r="G149" s="98"/>
      <c r="H149" s="839"/>
      <c r="I149" s="1091"/>
      <c r="J149" s="1084"/>
      <c r="K149" s="1084"/>
      <c r="L149" s="932"/>
    </row>
    <row r="150" spans="1:12" s="106" customFormat="1" ht="15.75" hidden="1" customHeight="1" outlineLevel="1">
      <c r="A150" s="932"/>
      <c r="B150" s="1087"/>
      <c r="C150" s="1096"/>
      <c r="D150" s="1092"/>
      <c r="E150" s="1092"/>
      <c r="F150" s="1094"/>
      <c r="G150" s="103"/>
      <c r="H150" s="840"/>
      <c r="I150" s="1092"/>
      <c r="J150" s="1085"/>
      <c r="K150" s="1085"/>
      <c r="L150" s="932"/>
    </row>
    <row r="151" spans="1:12" s="106" customFormat="1" ht="15.75" hidden="1" customHeight="1" outlineLevel="1">
      <c r="A151" s="932"/>
      <c r="B151" s="1086">
        <v>47</v>
      </c>
      <c r="C151" s="1095"/>
      <c r="D151" s="1091"/>
      <c r="E151" s="1091" t="s">
        <v>20</v>
      </c>
      <c r="F151" s="1093" t="str">
        <f>VLOOKUP(E151,$N$13:$O$17,2,0)</f>
        <v>-</v>
      </c>
      <c r="G151" s="95"/>
      <c r="H151" s="839"/>
      <c r="I151" s="1091"/>
      <c r="J151" s="1083"/>
      <c r="K151" s="1083"/>
      <c r="L151" s="932"/>
    </row>
    <row r="152" spans="1:12" s="106" customFormat="1" ht="15.75" hidden="1" customHeight="1" outlineLevel="1">
      <c r="A152" s="932"/>
      <c r="B152" s="1086"/>
      <c r="C152" s="1095"/>
      <c r="D152" s="1091"/>
      <c r="E152" s="1091"/>
      <c r="F152" s="1093"/>
      <c r="G152" s="98"/>
      <c r="H152" s="839"/>
      <c r="I152" s="1091"/>
      <c r="J152" s="1084"/>
      <c r="K152" s="1084"/>
      <c r="L152" s="932"/>
    </row>
    <row r="153" spans="1:12" s="106" customFormat="1" ht="15.75" hidden="1" customHeight="1" outlineLevel="1">
      <c r="A153" s="932"/>
      <c r="B153" s="1087"/>
      <c r="C153" s="1096"/>
      <c r="D153" s="1092"/>
      <c r="E153" s="1092"/>
      <c r="F153" s="1094"/>
      <c r="G153" s="103"/>
      <c r="H153" s="840"/>
      <c r="I153" s="1092"/>
      <c r="J153" s="1085"/>
      <c r="K153" s="1085"/>
      <c r="L153" s="932"/>
    </row>
    <row r="154" spans="1:12" s="106" customFormat="1" ht="15.75" hidden="1" customHeight="1" outlineLevel="1">
      <c r="A154" s="932"/>
      <c r="B154" s="1086">
        <v>48</v>
      </c>
      <c r="C154" s="1095"/>
      <c r="D154" s="1091"/>
      <c r="E154" s="1091" t="s">
        <v>20</v>
      </c>
      <c r="F154" s="1093" t="str">
        <f>VLOOKUP(E154,$N$13:$O$17,2,0)</f>
        <v>-</v>
      </c>
      <c r="G154" s="95"/>
      <c r="H154" s="839"/>
      <c r="I154" s="1091"/>
      <c r="J154" s="1083"/>
      <c r="K154" s="1083"/>
      <c r="L154" s="932"/>
    </row>
    <row r="155" spans="1:12" s="106" customFormat="1" ht="15.75" hidden="1" customHeight="1" outlineLevel="1">
      <c r="A155" s="932"/>
      <c r="B155" s="1086"/>
      <c r="C155" s="1095"/>
      <c r="D155" s="1091"/>
      <c r="E155" s="1091"/>
      <c r="F155" s="1093"/>
      <c r="G155" s="98"/>
      <c r="H155" s="839"/>
      <c r="I155" s="1091"/>
      <c r="J155" s="1084"/>
      <c r="K155" s="1084"/>
      <c r="L155" s="932"/>
    </row>
    <row r="156" spans="1:12" s="106" customFormat="1" ht="15.75" hidden="1" customHeight="1" outlineLevel="1">
      <c r="A156" s="932"/>
      <c r="B156" s="1087"/>
      <c r="C156" s="1096"/>
      <c r="D156" s="1092"/>
      <c r="E156" s="1092"/>
      <c r="F156" s="1094"/>
      <c r="G156" s="103"/>
      <c r="H156" s="840"/>
      <c r="I156" s="1092"/>
      <c r="J156" s="1085"/>
      <c r="K156" s="1085"/>
      <c r="L156" s="932"/>
    </row>
    <row r="157" spans="1:12" s="106" customFormat="1" ht="15.75" hidden="1" customHeight="1" outlineLevel="1">
      <c r="A157" s="932"/>
      <c r="B157" s="1086">
        <v>49</v>
      </c>
      <c r="C157" s="1095"/>
      <c r="D157" s="1091"/>
      <c r="E157" s="1091" t="s">
        <v>20</v>
      </c>
      <c r="F157" s="1093" t="str">
        <f>VLOOKUP(E157,$N$13:$O$17,2,0)</f>
        <v>-</v>
      </c>
      <c r="G157" s="95"/>
      <c r="H157" s="839"/>
      <c r="I157" s="1091"/>
      <c r="J157" s="1083"/>
      <c r="K157" s="1083"/>
      <c r="L157" s="932"/>
    </row>
    <row r="158" spans="1:12" s="106" customFormat="1" ht="15.75" hidden="1" customHeight="1" outlineLevel="1">
      <c r="A158" s="932"/>
      <c r="B158" s="1086"/>
      <c r="C158" s="1095"/>
      <c r="D158" s="1091"/>
      <c r="E158" s="1091"/>
      <c r="F158" s="1093"/>
      <c r="G158" s="98"/>
      <c r="H158" s="839"/>
      <c r="I158" s="1091"/>
      <c r="J158" s="1084"/>
      <c r="K158" s="1084"/>
      <c r="L158" s="932"/>
    </row>
    <row r="159" spans="1:12" s="106" customFormat="1" ht="15.75" hidden="1" customHeight="1" outlineLevel="1">
      <c r="A159" s="932"/>
      <c r="B159" s="1087"/>
      <c r="C159" s="1096"/>
      <c r="D159" s="1092"/>
      <c r="E159" s="1092"/>
      <c r="F159" s="1094"/>
      <c r="G159" s="103"/>
      <c r="H159" s="840"/>
      <c r="I159" s="1092"/>
      <c r="J159" s="1085"/>
      <c r="K159" s="1085"/>
      <c r="L159" s="932"/>
    </row>
    <row r="160" spans="1:12" s="106" customFormat="1" ht="15.75" hidden="1" customHeight="1" outlineLevel="1">
      <c r="A160" s="932"/>
      <c r="B160" s="1086">
        <v>50</v>
      </c>
      <c r="C160" s="1095"/>
      <c r="D160" s="1091"/>
      <c r="E160" s="1091" t="s">
        <v>20</v>
      </c>
      <c r="F160" s="1093" t="str">
        <f>VLOOKUP(E160,$N$13:$O$17,2,0)</f>
        <v>-</v>
      </c>
      <c r="G160" s="95"/>
      <c r="H160" s="839"/>
      <c r="I160" s="1091"/>
      <c r="J160" s="1083"/>
      <c r="K160" s="1083"/>
      <c r="L160" s="932"/>
    </row>
    <row r="161" spans="1:12" s="106" customFormat="1" ht="15.75" hidden="1" customHeight="1" outlineLevel="1">
      <c r="A161" s="932"/>
      <c r="B161" s="1086"/>
      <c r="C161" s="1095"/>
      <c r="D161" s="1091"/>
      <c r="E161" s="1091"/>
      <c r="F161" s="1093"/>
      <c r="G161" s="98"/>
      <c r="H161" s="839"/>
      <c r="I161" s="1091"/>
      <c r="J161" s="1084"/>
      <c r="K161" s="1084"/>
      <c r="L161" s="932"/>
    </row>
    <row r="162" spans="1:12" s="106" customFormat="1" ht="15.75" hidden="1" customHeight="1" outlineLevel="1">
      <c r="A162" s="932"/>
      <c r="B162" s="1087"/>
      <c r="C162" s="1096"/>
      <c r="D162" s="1092"/>
      <c r="E162" s="1092"/>
      <c r="F162" s="1094"/>
      <c r="G162" s="103"/>
      <c r="H162" s="840"/>
      <c r="I162" s="1092"/>
      <c r="J162" s="1085"/>
      <c r="K162" s="1085"/>
      <c r="L162" s="932"/>
    </row>
    <row r="163" spans="1:12" s="106" customFormat="1" ht="15.75" hidden="1" customHeight="1" outlineLevel="1">
      <c r="A163" s="932"/>
      <c r="B163" s="1086">
        <v>51</v>
      </c>
      <c r="C163" s="1095"/>
      <c r="D163" s="1091"/>
      <c r="E163" s="1091" t="s">
        <v>20</v>
      </c>
      <c r="F163" s="1093" t="str">
        <f>VLOOKUP(E163,$N$13:$O$17,2,0)</f>
        <v>-</v>
      </c>
      <c r="G163" s="95"/>
      <c r="H163" s="839"/>
      <c r="I163" s="1091"/>
      <c r="J163" s="1083"/>
      <c r="K163" s="1083"/>
      <c r="L163" s="932"/>
    </row>
    <row r="164" spans="1:12" s="106" customFormat="1" ht="15.75" hidden="1" customHeight="1" outlineLevel="1">
      <c r="A164" s="932"/>
      <c r="B164" s="1086"/>
      <c r="C164" s="1095"/>
      <c r="D164" s="1091"/>
      <c r="E164" s="1091"/>
      <c r="F164" s="1093"/>
      <c r="G164" s="98"/>
      <c r="H164" s="839"/>
      <c r="I164" s="1091"/>
      <c r="J164" s="1084"/>
      <c r="K164" s="1084"/>
      <c r="L164" s="932"/>
    </row>
    <row r="165" spans="1:12" s="106" customFormat="1" ht="15.75" hidden="1" customHeight="1" outlineLevel="1">
      <c r="A165" s="932"/>
      <c r="B165" s="1087"/>
      <c r="C165" s="1096"/>
      <c r="D165" s="1092"/>
      <c r="E165" s="1092"/>
      <c r="F165" s="1094"/>
      <c r="G165" s="103"/>
      <c r="H165" s="840"/>
      <c r="I165" s="1092"/>
      <c r="J165" s="1085"/>
      <c r="K165" s="1085"/>
      <c r="L165" s="932"/>
    </row>
    <row r="166" spans="1:12" s="106" customFormat="1" ht="15.75" hidden="1" customHeight="1" outlineLevel="1">
      <c r="A166" s="932"/>
      <c r="B166" s="1086">
        <v>52</v>
      </c>
      <c r="C166" s="1095"/>
      <c r="D166" s="1091"/>
      <c r="E166" s="1091" t="s">
        <v>20</v>
      </c>
      <c r="F166" s="1093" t="str">
        <f>VLOOKUP(E166,$N$13:$O$17,2,0)</f>
        <v>-</v>
      </c>
      <c r="G166" s="95"/>
      <c r="H166" s="839"/>
      <c r="I166" s="1091"/>
      <c r="J166" s="1083"/>
      <c r="K166" s="1083"/>
      <c r="L166" s="932"/>
    </row>
    <row r="167" spans="1:12" s="106" customFormat="1" ht="15.75" hidden="1" customHeight="1" outlineLevel="1">
      <c r="A167" s="932"/>
      <c r="B167" s="1086"/>
      <c r="C167" s="1095"/>
      <c r="D167" s="1091"/>
      <c r="E167" s="1091"/>
      <c r="F167" s="1093"/>
      <c r="G167" s="98"/>
      <c r="H167" s="839"/>
      <c r="I167" s="1091"/>
      <c r="J167" s="1084"/>
      <c r="K167" s="1084"/>
      <c r="L167" s="932"/>
    </row>
    <row r="168" spans="1:12" s="106" customFormat="1" ht="15.75" hidden="1" customHeight="1" outlineLevel="1">
      <c r="A168" s="932"/>
      <c r="B168" s="1087"/>
      <c r="C168" s="1096"/>
      <c r="D168" s="1092"/>
      <c r="E168" s="1092"/>
      <c r="F168" s="1094"/>
      <c r="G168" s="103"/>
      <c r="H168" s="840"/>
      <c r="I168" s="1092"/>
      <c r="J168" s="1085"/>
      <c r="K168" s="1085"/>
      <c r="L168" s="932"/>
    </row>
    <row r="169" spans="1:12" s="106" customFormat="1" ht="15.75" hidden="1" customHeight="1" outlineLevel="1">
      <c r="A169" s="932"/>
      <c r="B169" s="1086">
        <v>53</v>
      </c>
      <c r="C169" s="1095"/>
      <c r="D169" s="1091"/>
      <c r="E169" s="1091" t="s">
        <v>20</v>
      </c>
      <c r="F169" s="1093" t="str">
        <f>VLOOKUP(E169,$N$13:$O$17,2,0)</f>
        <v>-</v>
      </c>
      <c r="G169" s="95"/>
      <c r="H169" s="839"/>
      <c r="I169" s="1091"/>
      <c r="J169" s="1083"/>
      <c r="K169" s="1083"/>
      <c r="L169" s="932"/>
    </row>
    <row r="170" spans="1:12" s="106" customFormat="1" ht="15.75" hidden="1" customHeight="1" outlineLevel="1">
      <c r="A170" s="932"/>
      <c r="B170" s="1086"/>
      <c r="C170" s="1095"/>
      <c r="D170" s="1091"/>
      <c r="E170" s="1091"/>
      <c r="F170" s="1093"/>
      <c r="G170" s="98"/>
      <c r="H170" s="839"/>
      <c r="I170" s="1091"/>
      <c r="J170" s="1084"/>
      <c r="K170" s="1084"/>
      <c r="L170" s="932"/>
    </row>
    <row r="171" spans="1:12" s="106" customFormat="1" ht="15.75" hidden="1" customHeight="1" outlineLevel="1">
      <c r="A171" s="932"/>
      <c r="B171" s="1087"/>
      <c r="C171" s="1096"/>
      <c r="D171" s="1092"/>
      <c r="E171" s="1092"/>
      <c r="F171" s="1094"/>
      <c r="G171" s="103"/>
      <c r="H171" s="840"/>
      <c r="I171" s="1092"/>
      <c r="J171" s="1085"/>
      <c r="K171" s="1085"/>
      <c r="L171" s="932"/>
    </row>
    <row r="172" spans="1:12" s="106" customFormat="1" ht="15.75" hidden="1" customHeight="1" outlineLevel="1">
      <c r="A172" s="932"/>
      <c r="B172" s="1086">
        <v>54</v>
      </c>
      <c r="C172" s="1095"/>
      <c r="D172" s="1091"/>
      <c r="E172" s="1091" t="s">
        <v>20</v>
      </c>
      <c r="F172" s="1093" t="str">
        <f>VLOOKUP(E172,$N$13:$O$17,2,0)</f>
        <v>-</v>
      </c>
      <c r="G172" s="95"/>
      <c r="H172" s="839"/>
      <c r="I172" s="1091"/>
      <c r="J172" s="1083"/>
      <c r="K172" s="1083"/>
      <c r="L172" s="932"/>
    </row>
    <row r="173" spans="1:12" s="106" customFormat="1" ht="15.75" hidden="1" customHeight="1" outlineLevel="1">
      <c r="A173" s="932"/>
      <c r="B173" s="1086"/>
      <c r="C173" s="1095"/>
      <c r="D173" s="1091"/>
      <c r="E173" s="1091"/>
      <c r="F173" s="1093"/>
      <c r="G173" s="98"/>
      <c r="H173" s="839"/>
      <c r="I173" s="1091"/>
      <c r="J173" s="1084"/>
      <c r="K173" s="1084"/>
      <c r="L173" s="932"/>
    </row>
    <row r="174" spans="1:12" s="106" customFormat="1" ht="15.75" hidden="1" customHeight="1" outlineLevel="1">
      <c r="A174" s="932"/>
      <c r="B174" s="1087"/>
      <c r="C174" s="1096"/>
      <c r="D174" s="1092"/>
      <c r="E174" s="1092"/>
      <c r="F174" s="1094"/>
      <c r="G174" s="103"/>
      <c r="H174" s="840"/>
      <c r="I174" s="1092"/>
      <c r="J174" s="1085"/>
      <c r="K174" s="1085"/>
      <c r="L174" s="932"/>
    </row>
    <row r="175" spans="1:12" s="106" customFormat="1" ht="15.75" hidden="1" customHeight="1" outlineLevel="1">
      <c r="A175" s="932"/>
      <c r="B175" s="1086">
        <v>55</v>
      </c>
      <c r="C175" s="1095"/>
      <c r="D175" s="1091"/>
      <c r="E175" s="1091" t="s">
        <v>20</v>
      </c>
      <c r="F175" s="1093" t="str">
        <f>VLOOKUP(E175,$N$13:$O$17,2,0)</f>
        <v>-</v>
      </c>
      <c r="G175" s="95"/>
      <c r="H175" s="839"/>
      <c r="I175" s="1091"/>
      <c r="J175" s="1083"/>
      <c r="K175" s="1083"/>
      <c r="L175" s="932"/>
    </row>
    <row r="176" spans="1:12" s="106" customFormat="1" ht="15.75" hidden="1" customHeight="1" outlineLevel="1">
      <c r="A176" s="932"/>
      <c r="B176" s="1086"/>
      <c r="C176" s="1095"/>
      <c r="D176" s="1091"/>
      <c r="E176" s="1091"/>
      <c r="F176" s="1093"/>
      <c r="G176" s="98"/>
      <c r="H176" s="839"/>
      <c r="I176" s="1091"/>
      <c r="J176" s="1084"/>
      <c r="K176" s="1084"/>
      <c r="L176" s="932"/>
    </row>
    <row r="177" spans="1:12" s="106" customFormat="1" ht="15.75" hidden="1" customHeight="1" outlineLevel="1">
      <c r="A177" s="932"/>
      <c r="B177" s="1087"/>
      <c r="C177" s="1096"/>
      <c r="D177" s="1092"/>
      <c r="E177" s="1092"/>
      <c r="F177" s="1094"/>
      <c r="G177" s="103"/>
      <c r="H177" s="840"/>
      <c r="I177" s="1092"/>
      <c r="J177" s="1085"/>
      <c r="K177" s="1085"/>
      <c r="L177" s="932"/>
    </row>
    <row r="178" spans="1:12" s="106" customFormat="1" ht="15.75" hidden="1" customHeight="1" outlineLevel="1">
      <c r="A178" s="932"/>
      <c r="B178" s="1086">
        <v>56</v>
      </c>
      <c r="C178" s="1095"/>
      <c r="D178" s="1091"/>
      <c r="E178" s="1091" t="s">
        <v>20</v>
      </c>
      <c r="F178" s="1093" t="str">
        <f>VLOOKUP(E178,$N$13:$O$17,2,0)</f>
        <v>-</v>
      </c>
      <c r="G178" s="95"/>
      <c r="H178" s="839"/>
      <c r="I178" s="1091"/>
      <c r="J178" s="1083"/>
      <c r="K178" s="1083"/>
      <c r="L178" s="932"/>
    </row>
    <row r="179" spans="1:12" s="106" customFormat="1" ht="15.75" hidden="1" customHeight="1" outlineLevel="1">
      <c r="A179" s="932"/>
      <c r="B179" s="1086"/>
      <c r="C179" s="1095"/>
      <c r="D179" s="1091"/>
      <c r="E179" s="1091"/>
      <c r="F179" s="1093"/>
      <c r="G179" s="98"/>
      <c r="H179" s="839"/>
      <c r="I179" s="1091"/>
      <c r="J179" s="1084"/>
      <c r="K179" s="1084"/>
      <c r="L179" s="932"/>
    </row>
    <row r="180" spans="1:12" s="106" customFormat="1" ht="15.75" hidden="1" customHeight="1" outlineLevel="1">
      <c r="A180" s="932"/>
      <c r="B180" s="1087"/>
      <c r="C180" s="1096"/>
      <c r="D180" s="1092"/>
      <c r="E180" s="1092"/>
      <c r="F180" s="1094"/>
      <c r="G180" s="103"/>
      <c r="H180" s="840"/>
      <c r="I180" s="1092"/>
      <c r="J180" s="1085"/>
      <c r="K180" s="1085"/>
      <c r="L180" s="932"/>
    </row>
    <row r="181" spans="1:12" s="106" customFormat="1" ht="15.75" hidden="1" customHeight="1" outlineLevel="1">
      <c r="A181" s="932"/>
      <c r="B181" s="1086">
        <v>57</v>
      </c>
      <c r="C181" s="1095"/>
      <c r="D181" s="1091"/>
      <c r="E181" s="1091" t="s">
        <v>20</v>
      </c>
      <c r="F181" s="1093" t="str">
        <f>VLOOKUP(E181,$N$13:$O$17,2,0)</f>
        <v>-</v>
      </c>
      <c r="G181" s="95"/>
      <c r="H181" s="839"/>
      <c r="I181" s="1091"/>
      <c r="J181" s="1083"/>
      <c r="K181" s="1083"/>
      <c r="L181" s="932"/>
    </row>
    <row r="182" spans="1:12" s="106" customFormat="1" ht="15.75" hidden="1" customHeight="1" outlineLevel="1">
      <c r="A182" s="932"/>
      <c r="B182" s="1086"/>
      <c r="C182" s="1095"/>
      <c r="D182" s="1091"/>
      <c r="E182" s="1091"/>
      <c r="F182" s="1093"/>
      <c r="G182" s="98"/>
      <c r="H182" s="839"/>
      <c r="I182" s="1091"/>
      <c r="J182" s="1084"/>
      <c r="K182" s="1084"/>
      <c r="L182" s="932"/>
    </row>
    <row r="183" spans="1:12" s="106" customFormat="1" ht="15.75" hidden="1" customHeight="1" outlineLevel="1">
      <c r="A183" s="932"/>
      <c r="B183" s="1087"/>
      <c r="C183" s="1096"/>
      <c r="D183" s="1092"/>
      <c r="E183" s="1092"/>
      <c r="F183" s="1094"/>
      <c r="G183" s="103"/>
      <c r="H183" s="840"/>
      <c r="I183" s="1092"/>
      <c r="J183" s="1085"/>
      <c r="K183" s="1085"/>
      <c r="L183" s="932"/>
    </row>
    <row r="184" spans="1:12" s="106" customFormat="1" ht="15.75" hidden="1" customHeight="1" outlineLevel="1">
      <c r="A184" s="932"/>
      <c r="B184" s="1086">
        <v>58</v>
      </c>
      <c r="C184" s="1095"/>
      <c r="D184" s="1091"/>
      <c r="E184" s="1091" t="s">
        <v>20</v>
      </c>
      <c r="F184" s="1093" t="str">
        <f>VLOOKUP(E184,$N$13:$O$17,2,0)</f>
        <v>-</v>
      </c>
      <c r="G184" s="95"/>
      <c r="H184" s="839"/>
      <c r="I184" s="1091"/>
      <c r="J184" s="1083"/>
      <c r="K184" s="1083"/>
      <c r="L184" s="932"/>
    </row>
    <row r="185" spans="1:12" s="106" customFormat="1" ht="15.75" hidden="1" customHeight="1" outlineLevel="1">
      <c r="A185" s="932"/>
      <c r="B185" s="1086"/>
      <c r="C185" s="1095"/>
      <c r="D185" s="1091"/>
      <c r="E185" s="1091"/>
      <c r="F185" s="1093"/>
      <c r="G185" s="98"/>
      <c r="H185" s="839"/>
      <c r="I185" s="1091"/>
      <c r="J185" s="1084"/>
      <c r="K185" s="1084"/>
      <c r="L185" s="932"/>
    </row>
    <row r="186" spans="1:12" s="106" customFormat="1" ht="15.75" hidden="1" customHeight="1" outlineLevel="1">
      <c r="A186" s="932"/>
      <c r="B186" s="1087"/>
      <c r="C186" s="1096"/>
      <c r="D186" s="1092"/>
      <c r="E186" s="1092"/>
      <c r="F186" s="1094"/>
      <c r="G186" s="103"/>
      <c r="H186" s="840"/>
      <c r="I186" s="1092"/>
      <c r="J186" s="1085"/>
      <c r="K186" s="1085"/>
      <c r="L186" s="932"/>
    </row>
    <row r="187" spans="1:12" s="106" customFormat="1" ht="15.75" hidden="1" customHeight="1" outlineLevel="1">
      <c r="A187" s="932"/>
      <c r="B187" s="1086">
        <v>59</v>
      </c>
      <c r="C187" s="1095"/>
      <c r="D187" s="1091"/>
      <c r="E187" s="1091" t="s">
        <v>20</v>
      </c>
      <c r="F187" s="1093" t="str">
        <f>VLOOKUP(E187,$N$13:$O$17,2,0)</f>
        <v>-</v>
      </c>
      <c r="G187" s="95"/>
      <c r="H187" s="839"/>
      <c r="I187" s="1091"/>
      <c r="J187" s="1083"/>
      <c r="K187" s="1083"/>
      <c r="L187" s="932"/>
    </row>
    <row r="188" spans="1:12" s="106" customFormat="1" ht="15.75" hidden="1" customHeight="1" outlineLevel="1">
      <c r="A188" s="932"/>
      <c r="B188" s="1086"/>
      <c r="C188" s="1095"/>
      <c r="D188" s="1091"/>
      <c r="E188" s="1091"/>
      <c r="F188" s="1093"/>
      <c r="G188" s="98"/>
      <c r="H188" s="839"/>
      <c r="I188" s="1091"/>
      <c r="J188" s="1084"/>
      <c r="K188" s="1084"/>
      <c r="L188" s="932"/>
    </row>
    <row r="189" spans="1:12" s="106" customFormat="1" ht="15.75" hidden="1" customHeight="1" outlineLevel="1">
      <c r="A189" s="932"/>
      <c r="B189" s="1087"/>
      <c r="C189" s="1096"/>
      <c r="D189" s="1092"/>
      <c r="E189" s="1092"/>
      <c r="F189" s="1094"/>
      <c r="G189" s="103"/>
      <c r="H189" s="840"/>
      <c r="I189" s="1092"/>
      <c r="J189" s="1085"/>
      <c r="K189" s="1085"/>
      <c r="L189" s="932"/>
    </row>
    <row r="190" spans="1:12" s="106" customFormat="1" ht="15.75" hidden="1" customHeight="1" outlineLevel="1">
      <c r="A190" s="932"/>
      <c r="B190" s="1086">
        <v>60</v>
      </c>
      <c r="C190" s="1095"/>
      <c r="D190" s="1091"/>
      <c r="E190" s="1091" t="s">
        <v>20</v>
      </c>
      <c r="F190" s="1093" t="str">
        <f>VLOOKUP(E190,$N$13:$O$17,2,0)</f>
        <v>-</v>
      </c>
      <c r="G190" s="95"/>
      <c r="H190" s="839"/>
      <c r="I190" s="1091"/>
      <c r="J190" s="1083"/>
      <c r="K190" s="1083"/>
      <c r="L190" s="932"/>
    </row>
    <row r="191" spans="1:12" s="106" customFormat="1" ht="15.75" hidden="1" customHeight="1" outlineLevel="1">
      <c r="A191" s="932"/>
      <c r="B191" s="1086"/>
      <c r="C191" s="1095"/>
      <c r="D191" s="1091"/>
      <c r="E191" s="1091"/>
      <c r="F191" s="1093"/>
      <c r="G191" s="98"/>
      <c r="H191" s="839"/>
      <c r="I191" s="1091"/>
      <c r="J191" s="1084"/>
      <c r="K191" s="1084"/>
      <c r="L191" s="932"/>
    </row>
    <row r="192" spans="1:12" s="106" customFormat="1" ht="15.75" hidden="1" customHeight="1" outlineLevel="1">
      <c r="A192" s="932"/>
      <c r="B192" s="1087"/>
      <c r="C192" s="1096"/>
      <c r="D192" s="1092"/>
      <c r="E192" s="1092"/>
      <c r="F192" s="1094"/>
      <c r="G192" s="103"/>
      <c r="H192" s="840"/>
      <c r="I192" s="1092"/>
      <c r="J192" s="1085"/>
      <c r="K192" s="1085"/>
      <c r="L192" s="932"/>
    </row>
    <row r="193" spans="1:12" s="106" customFormat="1" ht="15.75" hidden="1" customHeight="1" outlineLevel="1">
      <c r="A193" s="932"/>
      <c r="B193" s="1086">
        <v>61</v>
      </c>
      <c r="C193" s="1095"/>
      <c r="D193" s="1091"/>
      <c r="E193" s="1091" t="s">
        <v>20</v>
      </c>
      <c r="F193" s="1093" t="str">
        <f>VLOOKUP(E193,$N$13:$O$17,2,0)</f>
        <v>-</v>
      </c>
      <c r="G193" s="95"/>
      <c r="H193" s="839"/>
      <c r="I193" s="1091"/>
      <c r="J193" s="1083"/>
      <c r="K193" s="1083"/>
      <c r="L193" s="932"/>
    </row>
    <row r="194" spans="1:12" s="106" customFormat="1" ht="15.75" hidden="1" customHeight="1" outlineLevel="1">
      <c r="A194" s="932"/>
      <c r="B194" s="1086"/>
      <c r="C194" s="1095"/>
      <c r="D194" s="1091"/>
      <c r="E194" s="1091"/>
      <c r="F194" s="1093"/>
      <c r="G194" s="98"/>
      <c r="H194" s="839"/>
      <c r="I194" s="1091"/>
      <c r="J194" s="1084"/>
      <c r="K194" s="1084"/>
      <c r="L194" s="932"/>
    </row>
    <row r="195" spans="1:12" s="106" customFormat="1" ht="15.75" hidden="1" customHeight="1" outlineLevel="1">
      <c r="A195" s="932"/>
      <c r="B195" s="1087"/>
      <c r="C195" s="1096"/>
      <c r="D195" s="1092"/>
      <c r="E195" s="1092"/>
      <c r="F195" s="1094"/>
      <c r="G195" s="103"/>
      <c r="H195" s="840"/>
      <c r="I195" s="1092"/>
      <c r="J195" s="1085"/>
      <c r="K195" s="1085"/>
      <c r="L195" s="932"/>
    </row>
    <row r="196" spans="1:12" s="106" customFormat="1" ht="15.75" hidden="1" customHeight="1" outlineLevel="1">
      <c r="A196" s="932"/>
      <c r="B196" s="1086">
        <v>62</v>
      </c>
      <c r="C196" s="1095"/>
      <c r="D196" s="1091"/>
      <c r="E196" s="1091" t="s">
        <v>20</v>
      </c>
      <c r="F196" s="1093" t="str">
        <f>VLOOKUP(E196,$N$13:$O$17,2,0)</f>
        <v>-</v>
      </c>
      <c r="G196" s="95"/>
      <c r="H196" s="839"/>
      <c r="I196" s="1091"/>
      <c r="J196" s="1083"/>
      <c r="K196" s="1083"/>
      <c r="L196" s="932"/>
    </row>
    <row r="197" spans="1:12" s="106" customFormat="1" ht="15.75" hidden="1" customHeight="1" outlineLevel="1">
      <c r="A197" s="932"/>
      <c r="B197" s="1086"/>
      <c r="C197" s="1095"/>
      <c r="D197" s="1091"/>
      <c r="E197" s="1091"/>
      <c r="F197" s="1093"/>
      <c r="G197" s="98"/>
      <c r="H197" s="839"/>
      <c r="I197" s="1091"/>
      <c r="J197" s="1084"/>
      <c r="K197" s="1084"/>
      <c r="L197" s="932"/>
    </row>
    <row r="198" spans="1:12" s="106" customFormat="1" ht="15.75" hidden="1" customHeight="1" outlineLevel="1">
      <c r="A198" s="932"/>
      <c r="B198" s="1087"/>
      <c r="C198" s="1096"/>
      <c r="D198" s="1092"/>
      <c r="E198" s="1092"/>
      <c r="F198" s="1094"/>
      <c r="G198" s="103"/>
      <c r="H198" s="840"/>
      <c r="I198" s="1092"/>
      <c r="J198" s="1085"/>
      <c r="K198" s="1085"/>
      <c r="L198" s="932"/>
    </row>
    <row r="199" spans="1:12" s="106" customFormat="1" ht="15.75" hidden="1" customHeight="1" outlineLevel="1">
      <c r="A199" s="932"/>
      <c r="B199" s="1086">
        <v>63</v>
      </c>
      <c r="C199" s="1095"/>
      <c r="D199" s="1091"/>
      <c r="E199" s="1091" t="s">
        <v>20</v>
      </c>
      <c r="F199" s="1093" t="str">
        <f>VLOOKUP(E199,$N$13:$O$17,2,0)</f>
        <v>-</v>
      </c>
      <c r="G199" s="95"/>
      <c r="H199" s="839"/>
      <c r="I199" s="1091"/>
      <c r="J199" s="1083"/>
      <c r="K199" s="1083"/>
      <c r="L199" s="932"/>
    </row>
    <row r="200" spans="1:12" s="106" customFormat="1" ht="15.75" hidden="1" customHeight="1" outlineLevel="1">
      <c r="A200" s="932"/>
      <c r="B200" s="1086"/>
      <c r="C200" s="1095"/>
      <c r="D200" s="1091"/>
      <c r="E200" s="1091"/>
      <c r="F200" s="1093"/>
      <c r="G200" s="98"/>
      <c r="H200" s="839"/>
      <c r="I200" s="1091"/>
      <c r="J200" s="1084"/>
      <c r="K200" s="1084"/>
      <c r="L200" s="932"/>
    </row>
    <row r="201" spans="1:12" s="106" customFormat="1" ht="15.75" hidden="1" customHeight="1" outlineLevel="1">
      <c r="A201" s="932"/>
      <c r="B201" s="1087"/>
      <c r="C201" s="1096"/>
      <c r="D201" s="1092"/>
      <c r="E201" s="1092"/>
      <c r="F201" s="1094"/>
      <c r="G201" s="103"/>
      <c r="H201" s="840"/>
      <c r="I201" s="1092"/>
      <c r="J201" s="1085"/>
      <c r="K201" s="1085"/>
      <c r="L201" s="932"/>
    </row>
    <row r="202" spans="1:12" s="106" customFormat="1" ht="15.75" hidden="1" customHeight="1" outlineLevel="1">
      <c r="A202" s="932"/>
      <c r="B202" s="1086">
        <v>64</v>
      </c>
      <c r="C202" s="1095"/>
      <c r="D202" s="1091"/>
      <c r="E202" s="1091" t="s">
        <v>20</v>
      </c>
      <c r="F202" s="1093" t="str">
        <f>VLOOKUP(E202,$N$13:$O$17,2,0)</f>
        <v>-</v>
      </c>
      <c r="G202" s="95"/>
      <c r="H202" s="839"/>
      <c r="I202" s="1091"/>
      <c r="J202" s="1083"/>
      <c r="K202" s="1083"/>
      <c r="L202" s="932"/>
    </row>
    <row r="203" spans="1:12" s="106" customFormat="1" ht="15.75" hidden="1" customHeight="1" outlineLevel="1">
      <c r="A203" s="932"/>
      <c r="B203" s="1086"/>
      <c r="C203" s="1095"/>
      <c r="D203" s="1091"/>
      <c r="E203" s="1091"/>
      <c r="F203" s="1093"/>
      <c r="G203" s="98"/>
      <c r="H203" s="839"/>
      <c r="I203" s="1091"/>
      <c r="J203" s="1084"/>
      <c r="K203" s="1084"/>
      <c r="L203" s="932"/>
    </row>
    <row r="204" spans="1:12" s="106" customFormat="1" ht="15.75" hidden="1" customHeight="1" outlineLevel="1">
      <c r="A204" s="932"/>
      <c r="B204" s="1087"/>
      <c r="C204" s="1096"/>
      <c r="D204" s="1092"/>
      <c r="E204" s="1092"/>
      <c r="F204" s="1094"/>
      <c r="G204" s="103"/>
      <c r="H204" s="840"/>
      <c r="I204" s="1092"/>
      <c r="J204" s="1085"/>
      <c r="K204" s="1085"/>
      <c r="L204" s="932"/>
    </row>
    <row r="205" spans="1:12" s="106" customFormat="1" ht="15.75" hidden="1" customHeight="1" outlineLevel="1">
      <c r="A205" s="932"/>
      <c r="B205" s="1086">
        <v>65</v>
      </c>
      <c r="C205" s="1095"/>
      <c r="D205" s="1091"/>
      <c r="E205" s="1091" t="s">
        <v>20</v>
      </c>
      <c r="F205" s="1093" t="str">
        <f>VLOOKUP(E205,$N$13:$O$17,2,0)</f>
        <v>-</v>
      </c>
      <c r="G205" s="95"/>
      <c r="H205" s="839"/>
      <c r="I205" s="1091"/>
      <c r="J205" s="1083"/>
      <c r="K205" s="1083"/>
      <c r="L205" s="932"/>
    </row>
    <row r="206" spans="1:12" s="106" customFormat="1" ht="15.75" hidden="1" customHeight="1" outlineLevel="1">
      <c r="A206" s="932"/>
      <c r="B206" s="1086"/>
      <c r="C206" s="1095"/>
      <c r="D206" s="1091"/>
      <c r="E206" s="1091"/>
      <c r="F206" s="1093"/>
      <c r="G206" s="98"/>
      <c r="H206" s="839"/>
      <c r="I206" s="1091"/>
      <c r="J206" s="1084"/>
      <c r="K206" s="1084"/>
      <c r="L206" s="932"/>
    </row>
    <row r="207" spans="1:12" s="106" customFormat="1" ht="15.75" hidden="1" customHeight="1" outlineLevel="1">
      <c r="A207" s="932"/>
      <c r="B207" s="1087"/>
      <c r="C207" s="1096"/>
      <c r="D207" s="1092"/>
      <c r="E207" s="1092"/>
      <c r="F207" s="1094"/>
      <c r="G207" s="103"/>
      <c r="H207" s="840"/>
      <c r="I207" s="1092"/>
      <c r="J207" s="1085"/>
      <c r="K207" s="1085"/>
      <c r="L207" s="932"/>
    </row>
    <row r="208" spans="1:12" s="106" customFormat="1" ht="15.75" hidden="1" customHeight="1" outlineLevel="1">
      <c r="A208" s="932"/>
      <c r="B208" s="1086">
        <v>66</v>
      </c>
      <c r="C208" s="1095"/>
      <c r="D208" s="1091"/>
      <c r="E208" s="1091" t="s">
        <v>20</v>
      </c>
      <c r="F208" s="1093" t="str">
        <f>VLOOKUP(E208,$N$13:$O$17,2,0)</f>
        <v>-</v>
      </c>
      <c r="G208" s="95"/>
      <c r="H208" s="839"/>
      <c r="I208" s="1091"/>
      <c r="J208" s="1083"/>
      <c r="K208" s="1083"/>
      <c r="L208" s="932"/>
    </row>
    <row r="209" spans="1:12" s="106" customFormat="1" ht="15.75" hidden="1" customHeight="1" outlineLevel="1">
      <c r="A209" s="932"/>
      <c r="B209" s="1086"/>
      <c r="C209" s="1095"/>
      <c r="D209" s="1091"/>
      <c r="E209" s="1091"/>
      <c r="F209" s="1093"/>
      <c r="G209" s="98"/>
      <c r="H209" s="839"/>
      <c r="I209" s="1091"/>
      <c r="J209" s="1084"/>
      <c r="K209" s="1084"/>
      <c r="L209" s="932"/>
    </row>
    <row r="210" spans="1:12" s="106" customFormat="1" ht="15.75" hidden="1" customHeight="1" outlineLevel="1">
      <c r="A210" s="932"/>
      <c r="B210" s="1087"/>
      <c r="C210" s="1096"/>
      <c r="D210" s="1092"/>
      <c r="E210" s="1092"/>
      <c r="F210" s="1094"/>
      <c r="G210" s="103"/>
      <c r="H210" s="840"/>
      <c r="I210" s="1092"/>
      <c r="J210" s="1085"/>
      <c r="K210" s="1085"/>
      <c r="L210" s="932"/>
    </row>
    <row r="211" spans="1:12" s="106" customFormat="1" ht="15.75" hidden="1" customHeight="1" outlineLevel="1">
      <c r="A211" s="932"/>
      <c r="B211" s="1086">
        <v>67</v>
      </c>
      <c r="C211" s="1095"/>
      <c r="D211" s="1091"/>
      <c r="E211" s="1091" t="s">
        <v>20</v>
      </c>
      <c r="F211" s="1093" t="str">
        <f>VLOOKUP(E211,$N$13:$O$17,2,0)</f>
        <v>-</v>
      </c>
      <c r="G211" s="95"/>
      <c r="H211" s="839"/>
      <c r="I211" s="1091"/>
      <c r="J211" s="1083"/>
      <c r="K211" s="1083"/>
      <c r="L211" s="932"/>
    </row>
    <row r="212" spans="1:12" s="106" customFormat="1" ht="15.75" hidden="1" customHeight="1" outlineLevel="1">
      <c r="A212" s="932"/>
      <c r="B212" s="1086"/>
      <c r="C212" s="1095"/>
      <c r="D212" s="1091"/>
      <c r="E212" s="1091"/>
      <c r="F212" s="1093"/>
      <c r="G212" s="98"/>
      <c r="H212" s="839"/>
      <c r="I212" s="1091"/>
      <c r="J212" s="1084"/>
      <c r="K212" s="1084"/>
      <c r="L212" s="932"/>
    </row>
    <row r="213" spans="1:12" s="106" customFormat="1" ht="15.75" hidden="1" customHeight="1" outlineLevel="1">
      <c r="A213" s="932"/>
      <c r="B213" s="1087"/>
      <c r="C213" s="1096"/>
      <c r="D213" s="1092"/>
      <c r="E213" s="1092"/>
      <c r="F213" s="1094"/>
      <c r="G213" s="103"/>
      <c r="H213" s="840"/>
      <c r="I213" s="1092"/>
      <c r="J213" s="1085"/>
      <c r="K213" s="1085"/>
      <c r="L213" s="932"/>
    </row>
    <row r="214" spans="1:12" s="106" customFormat="1" ht="15.75" hidden="1" customHeight="1" outlineLevel="1">
      <c r="A214" s="932"/>
      <c r="B214" s="1086">
        <v>68</v>
      </c>
      <c r="C214" s="1095"/>
      <c r="D214" s="1091"/>
      <c r="E214" s="1091" t="s">
        <v>20</v>
      </c>
      <c r="F214" s="1093" t="str">
        <f>VLOOKUP(E214,$N$13:$O$17,2,0)</f>
        <v>-</v>
      </c>
      <c r="G214" s="95"/>
      <c r="H214" s="839"/>
      <c r="I214" s="1091"/>
      <c r="J214" s="1083"/>
      <c r="K214" s="1083"/>
      <c r="L214" s="932"/>
    </row>
    <row r="215" spans="1:12" s="106" customFormat="1" ht="15.75" hidden="1" customHeight="1" outlineLevel="1">
      <c r="A215" s="932"/>
      <c r="B215" s="1086"/>
      <c r="C215" s="1095"/>
      <c r="D215" s="1091"/>
      <c r="E215" s="1091"/>
      <c r="F215" s="1093"/>
      <c r="G215" s="98"/>
      <c r="H215" s="839"/>
      <c r="I215" s="1091"/>
      <c r="J215" s="1084"/>
      <c r="K215" s="1084"/>
      <c r="L215" s="932"/>
    </row>
    <row r="216" spans="1:12" s="106" customFormat="1" ht="15.75" hidden="1" customHeight="1" outlineLevel="1">
      <c r="A216" s="932"/>
      <c r="B216" s="1087"/>
      <c r="C216" s="1096"/>
      <c r="D216" s="1092"/>
      <c r="E216" s="1092"/>
      <c r="F216" s="1094"/>
      <c r="G216" s="103"/>
      <c r="H216" s="840"/>
      <c r="I216" s="1092"/>
      <c r="J216" s="1085"/>
      <c r="K216" s="1085"/>
      <c r="L216" s="932"/>
    </row>
    <row r="217" spans="1:12" s="106" customFormat="1" ht="15.75" hidden="1" customHeight="1" outlineLevel="1">
      <c r="A217" s="932"/>
      <c r="B217" s="1086">
        <v>69</v>
      </c>
      <c r="C217" s="1095"/>
      <c r="D217" s="1091"/>
      <c r="E217" s="1091" t="s">
        <v>20</v>
      </c>
      <c r="F217" s="1093" t="str">
        <f>VLOOKUP(E217,$N$13:$O$17,2,0)</f>
        <v>-</v>
      </c>
      <c r="G217" s="95"/>
      <c r="H217" s="839"/>
      <c r="I217" s="1091"/>
      <c r="J217" s="1083"/>
      <c r="K217" s="1083"/>
      <c r="L217" s="932"/>
    </row>
    <row r="218" spans="1:12" s="106" customFormat="1" ht="15.75" hidden="1" customHeight="1" outlineLevel="1">
      <c r="A218" s="932"/>
      <c r="B218" s="1086"/>
      <c r="C218" s="1095"/>
      <c r="D218" s="1091"/>
      <c r="E218" s="1091"/>
      <c r="F218" s="1093"/>
      <c r="G218" s="98"/>
      <c r="H218" s="839"/>
      <c r="I218" s="1091"/>
      <c r="J218" s="1084"/>
      <c r="K218" s="1084"/>
      <c r="L218" s="932"/>
    </row>
    <row r="219" spans="1:12" s="106" customFormat="1" ht="15.75" hidden="1" customHeight="1" outlineLevel="1">
      <c r="A219" s="932"/>
      <c r="B219" s="1087"/>
      <c r="C219" s="1096"/>
      <c r="D219" s="1092"/>
      <c r="E219" s="1092"/>
      <c r="F219" s="1094"/>
      <c r="G219" s="103"/>
      <c r="H219" s="840"/>
      <c r="I219" s="1092"/>
      <c r="J219" s="1085"/>
      <c r="K219" s="1085"/>
      <c r="L219" s="932"/>
    </row>
    <row r="220" spans="1:12" s="106" customFormat="1" ht="15.75" hidden="1" customHeight="1" outlineLevel="1">
      <c r="A220" s="932"/>
      <c r="B220" s="1086">
        <v>70</v>
      </c>
      <c r="C220" s="1095"/>
      <c r="D220" s="1091"/>
      <c r="E220" s="1091" t="s">
        <v>20</v>
      </c>
      <c r="F220" s="1093" t="str">
        <f>VLOOKUP(E220,$N$13:$O$17,2,0)</f>
        <v>-</v>
      </c>
      <c r="G220" s="95"/>
      <c r="H220" s="839"/>
      <c r="I220" s="1091"/>
      <c r="J220" s="1083"/>
      <c r="K220" s="1083"/>
      <c r="L220" s="932"/>
    </row>
    <row r="221" spans="1:12" s="106" customFormat="1" ht="15.75" hidden="1" customHeight="1" outlineLevel="1">
      <c r="A221" s="932"/>
      <c r="B221" s="1086"/>
      <c r="C221" s="1095"/>
      <c r="D221" s="1091"/>
      <c r="E221" s="1091"/>
      <c r="F221" s="1093"/>
      <c r="G221" s="98"/>
      <c r="H221" s="839"/>
      <c r="I221" s="1091"/>
      <c r="J221" s="1084"/>
      <c r="K221" s="1084"/>
      <c r="L221" s="932"/>
    </row>
    <row r="222" spans="1:12" s="106" customFormat="1" ht="15.75" hidden="1" customHeight="1" outlineLevel="1">
      <c r="A222" s="932"/>
      <c r="B222" s="1087"/>
      <c r="C222" s="1096"/>
      <c r="D222" s="1092"/>
      <c r="E222" s="1092"/>
      <c r="F222" s="1094"/>
      <c r="G222" s="103"/>
      <c r="H222" s="840"/>
      <c r="I222" s="1092"/>
      <c r="J222" s="1085"/>
      <c r="K222" s="1085"/>
      <c r="L222" s="932"/>
    </row>
    <row r="223" spans="1:12" s="106" customFormat="1" ht="15.75" hidden="1" customHeight="1" outlineLevel="1">
      <c r="A223" s="932"/>
      <c r="B223" s="1086">
        <v>71</v>
      </c>
      <c r="C223" s="1095"/>
      <c r="D223" s="1091"/>
      <c r="E223" s="1091" t="s">
        <v>20</v>
      </c>
      <c r="F223" s="1093" t="str">
        <f>VLOOKUP(E223,$N$13:$O$17,2,0)</f>
        <v>-</v>
      </c>
      <c r="G223" s="95"/>
      <c r="H223" s="839"/>
      <c r="I223" s="1091"/>
      <c r="J223" s="1083"/>
      <c r="K223" s="1083"/>
      <c r="L223" s="932"/>
    </row>
    <row r="224" spans="1:12" s="106" customFormat="1" ht="15.75" hidden="1" customHeight="1" outlineLevel="1">
      <c r="A224" s="932"/>
      <c r="B224" s="1086"/>
      <c r="C224" s="1095"/>
      <c r="D224" s="1091"/>
      <c r="E224" s="1091"/>
      <c r="F224" s="1093"/>
      <c r="G224" s="98"/>
      <c r="H224" s="839"/>
      <c r="I224" s="1091"/>
      <c r="J224" s="1084"/>
      <c r="K224" s="1084"/>
      <c r="L224" s="932"/>
    </row>
    <row r="225" spans="1:12" s="106" customFormat="1" ht="15.75" hidden="1" customHeight="1" outlineLevel="1">
      <c r="A225" s="932"/>
      <c r="B225" s="1087"/>
      <c r="C225" s="1096"/>
      <c r="D225" s="1092"/>
      <c r="E225" s="1092"/>
      <c r="F225" s="1094"/>
      <c r="G225" s="103"/>
      <c r="H225" s="840"/>
      <c r="I225" s="1092"/>
      <c r="J225" s="1085"/>
      <c r="K225" s="1085"/>
      <c r="L225" s="932"/>
    </row>
    <row r="226" spans="1:12" s="106" customFormat="1" ht="15.75" hidden="1" customHeight="1" outlineLevel="1">
      <c r="A226" s="932"/>
      <c r="B226" s="1086">
        <v>72</v>
      </c>
      <c r="C226" s="1095"/>
      <c r="D226" s="1091"/>
      <c r="E226" s="1091" t="s">
        <v>20</v>
      </c>
      <c r="F226" s="1093" t="str">
        <f>VLOOKUP(E226,$N$13:$O$17,2,0)</f>
        <v>-</v>
      </c>
      <c r="G226" s="95"/>
      <c r="H226" s="839"/>
      <c r="I226" s="1091"/>
      <c r="J226" s="1083"/>
      <c r="K226" s="1083"/>
      <c r="L226" s="932"/>
    </row>
    <row r="227" spans="1:12" s="106" customFormat="1" ht="15.75" hidden="1" customHeight="1" outlineLevel="1">
      <c r="A227" s="932"/>
      <c r="B227" s="1086"/>
      <c r="C227" s="1095"/>
      <c r="D227" s="1091"/>
      <c r="E227" s="1091"/>
      <c r="F227" s="1093"/>
      <c r="G227" s="98"/>
      <c r="H227" s="839"/>
      <c r="I227" s="1091"/>
      <c r="J227" s="1084"/>
      <c r="K227" s="1084"/>
      <c r="L227" s="932"/>
    </row>
    <row r="228" spans="1:12" s="106" customFormat="1" ht="15.75" hidden="1" customHeight="1" outlineLevel="1">
      <c r="A228" s="932"/>
      <c r="B228" s="1087"/>
      <c r="C228" s="1096"/>
      <c r="D228" s="1092"/>
      <c r="E228" s="1092"/>
      <c r="F228" s="1094"/>
      <c r="G228" s="103"/>
      <c r="H228" s="840"/>
      <c r="I228" s="1092"/>
      <c r="J228" s="1085"/>
      <c r="K228" s="1085"/>
      <c r="L228" s="932"/>
    </row>
    <row r="229" spans="1:12" s="106" customFormat="1" ht="15.75" hidden="1" customHeight="1" outlineLevel="1">
      <c r="A229" s="932"/>
      <c r="B229" s="1086">
        <v>73</v>
      </c>
      <c r="C229" s="1095"/>
      <c r="D229" s="1091"/>
      <c r="E229" s="1091" t="s">
        <v>20</v>
      </c>
      <c r="F229" s="1093" t="str">
        <f>VLOOKUP(E229,$N$13:$O$17,2,0)</f>
        <v>-</v>
      </c>
      <c r="G229" s="95"/>
      <c r="H229" s="839"/>
      <c r="I229" s="1091"/>
      <c r="J229" s="1083"/>
      <c r="K229" s="1083"/>
      <c r="L229" s="932"/>
    </row>
    <row r="230" spans="1:12" s="106" customFormat="1" ht="15.75" hidden="1" customHeight="1" outlineLevel="1">
      <c r="A230" s="932"/>
      <c r="B230" s="1086"/>
      <c r="C230" s="1095"/>
      <c r="D230" s="1091"/>
      <c r="E230" s="1091"/>
      <c r="F230" s="1093"/>
      <c r="G230" s="98"/>
      <c r="H230" s="839"/>
      <c r="I230" s="1091"/>
      <c r="J230" s="1084"/>
      <c r="K230" s="1084"/>
      <c r="L230" s="932"/>
    </row>
    <row r="231" spans="1:12" s="106" customFormat="1" ht="15.75" hidden="1" customHeight="1" outlineLevel="1">
      <c r="A231" s="932"/>
      <c r="B231" s="1087"/>
      <c r="C231" s="1096"/>
      <c r="D231" s="1092"/>
      <c r="E231" s="1092"/>
      <c r="F231" s="1094"/>
      <c r="G231" s="103"/>
      <c r="H231" s="840"/>
      <c r="I231" s="1092"/>
      <c r="J231" s="1085"/>
      <c r="K231" s="1085"/>
      <c r="L231" s="932"/>
    </row>
    <row r="232" spans="1:12" s="106" customFormat="1" ht="15.75" hidden="1" customHeight="1" outlineLevel="1">
      <c r="A232" s="932"/>
      <c r="B232" s="1086">
        <v>74</v>
      </c>
      <c r="C232" s="1095"/>
      <c r="D232" s="1091"/>
      <c r="E232" s="1091" t="s">
        <v>20</v>
      </c>
      <c r="F232" s="1093" t="str">
        <f>VLOOKUP(E232,$N$13:$O$17,2,0)</f>
        <v>-</v>
      </c>
      <c r="G232" s="95"/>
      <c r="H232" s="839"/>
      <c r="I232" s="1091"/>
      <c r="J232" s="1083"/>
      <c r="K232" s="1083"/>
      <c r="L232" s="932"/>
    </row>
    <row r="233" spans="1:12" s="106" customFormat="1" ht="15.75" hidden="1" customHeight="1" outlineLevel="1">
      <c r="A233" s="932"/>
      <c r="B233" s="1086"/>
      <c r="C233" s="1095"/>
      <c r="D233" s="1091"/>
      <c r="E233" s="1091"/>
      <c r="F233" s="1093"/>
      <c r="G233" s="98"/>
      <c r="H233" s="839"/>
      <c r="I233" s="1091"/>
      <c r="J233" s="1084"/>
      <c r="K233" s="1084"/>
      <c r="L233" s="932"/>
    </row>
    <row r="234" spans="1:12" s="106" customFormat="1" ht="15.75" hidden="1" customHeight="1" outlineLevel="1">
      <c r="A234" s="932"/>
      <c r="B234" s="1087"/>
      <c r="C234" s="1096"/>
      <c r="D234" s="1092"/>
      <c r="E234" s="1092"/>
      <c r="F234" s="1094"/>
      <c r="G234" s="103"/>
      <c r="H234" s="840"/>
      <c r="I234" s="1092"/>
      <c r="J234" s="1085"/>
      <c r="K234" s="1085"/>
      <c r="L234" s="932"/>
    </row>
    <row r="235" spans="1:12" s="106" customFormat="1" ht="15.75" hidden="1" customHeight="1" outlineLevel="1">
      <c r="A235" s="932"/>
      <c r="B235" s="1086">
        <v>75</v>
      </c>
      <c r="C235" s="1095"/>
      <c r="D235" s="1091"/>
      <c r="E235" s="1091" t="s">
        <v>20</v>
      </c>
      <c r="F235" s="1093" t="str">
        <f>VLOOKUP(E235,$N$13:$O$17,2,0)</f>
        <v>-</v>
      </c>
      <c r="G235" s="95"/>
      <c r="H235" s="839"/>
      <c r="I235" s="1091"/>
      <c r="J235" s="1083"/>
      <c r="K235" s="1083"/>
      <c r="L235" s="932"/>
    </row>
    <row r="236" spans="1:12" s="106" customFormat="1" ht="15.75" hidden="1" customHeight="1" outlineLevel="1">
      <c r="A236" s="932"/>
      <c r="B236" s="1086"/>
      <c r="C236" s="1095"/>
      <c r="D236" s="1091"/>
      <c r="E236" s="1091"/>
      <c r="F236" s="1093"/>
      <c r="G236" s="98"/>
      <c r="H236" s="839"/>
      <c r="I236" s="1091"/>
      <c r="J236" s="1084"/>
      <c r="K236" s="1084"/>
      <c r="L236" s="932"/>
    </row>
    <row r="237" spans="1:12" s="106" customFormat="1" ht="15.75" hidden="1" customHeight="1" outlineLevel="1">
      <c r="A237" s="932"/>
      <c r="B237" s="1087"/>
      <c r="C237" s="1096"/>
      <c r="D237" s="1092"/>
      <c r="E237" s="1092"/>
      <c r="F237" s="1094"/>
      <c r="G237" s="103"/>
      <c r="H237" s="840"/>
      <c r="I237" s="1092"/>
      <c r="J237" s="1085"/>
      <c r="K237" s="1085"/>
      <c r="L237" s="932"/>
    </row>
    <row r="238" spans="1:12" s="106" customFormat="1" ht="15.75" hidden="1" customHeight="1" outlineLevel="1">
      <c r="A238" s="932"/>
      <c r="B238" s="1086">
        <v>76</v>
      </c>
      <c r="C238" s="1095"/>
      <c r="D238" s="1091"/>
      <c r="E238" s="1091" t="s">
        <v>20</v>
      </c>
      <c r="F238" s="1093" t="str">
        <f>VLOOKUP(E238,$N$13:$O$17,2,0)</f>
        <v>-</v>
      </c>
      <c r="G238" s="95"/>
      <c r="H238" s="839"/>
      <c r="I238" s="1091"/>
      <c r="J238" s="1083"/>
      <c r="K238" s="1083"/>
      <c r="L238" s="932"/>
    </row>
    <row r="239" spans="1:12" s="106" customFormat="1" ht="15.75" hidden="1" customHeight="1" outlineLevel="1">
      <c r="A239" s="932"/>
      <c r="B239" s="1086"/>
      <c r="C239" s="1095"/>
      <c r="D239" s="1091"/>
      <c r="E239" s="1091"/>
      <c r="F239" s="1093"/>
      <c r="G239" s="98"/>
      <c r="H239" s="839"/>
      <c r="I239" s="1091"/>
      <c r="J239" s="1084"/>
      <c r="K239" s="1084"/>
      <c r="L239" s="932"/>
    </row>
    <row r="240" spans="1:12" s="106" customFormat="1" ht="15.75" hidden="1" customHeight="1" outlineLevel="1">
      <c r="A240" s="932"/>
      <c r="B240" s="1087"/>
      <c r="C240" s="1096"/>
      <c r="D240" s="1092"/>
      <c r="E240" s="1092"/>
      <c r="F240" s="1094"/>
      <c r="G240" s="103"/>
      <c r="H240" s="840"/>
      <c r="I240" s="1092"/>
      <c r="J240" s="1085"/>
      <c r="K240" s="1085"/>
      <c r="L240" s="932"/>
    </row>
    <row r="241" spans="1:12" s="106" customFormat="1" ht="15.75" hidden="1" customHeight="1" outlineLevel="1">
      <c r="A241" s="932"/>
      <c r="B241" s="1086">
        <v>77</v>
      </c>
      <c r="C241" s="1095"/>
      <c r="D241" s="1091"/>
      <c r="E241" s="1091" t="s">
        <v>20</v>
      </c>
      <c r="F241" s="1093" t="str">
        <f>VLOOKUP(E241,$N$13:$O$17,2,0)</f>
        <v>-</v>
      </c>
      <c r="G241" s="95"/>
      <c r="H241" s="839"/>
      <c r="I241" s="1091"/>
      <c r="J241" s="1083"/>
      <c r="K241" s="1083"/>
      <c r="L241" s="932"/>
    </row>
    <row r="242" spans="1:12" s="106" customFormat="1" ht="15.75" hidden="1" customHeight="1" outlineLevel="1">
      <c r="A242" s="932"/>
      <c r="B242" s="1086"/>
      <c r="C242" s="1095"/>
      <c r="D242" s="1091"/>
      <c r="E242" s="1091"/>
      <c r="F242" s="1093"/>
      <c r="G242" s="98"/>
      <c r="H242" s="839"/>
      <c r="I242" s="1091"/>
      <c r="J242" s="1084"/>
      <c r="K242" s="1084"/>
      <c r="L242" s="932"/>
    </row>
    <row r="243" spans="1:12" s="106" customFormat="1" ht="15.75" hidden="1" customHeight="1" outlineLevel="1">
      <c r="A243" s="932"/>
      <c r="B243" s="1087"/>
      <c r="C243" s="1096"/>
      <c r="D243" s="1092"/>
      <c r="E243" s="1092"/>
      <c r="F243" s="1094"/>
      <c r="G243" s="103"/>
      <c r="H243" s="840"/>
      <c r="I243" s="1092"/>
      <c r="J243" s="1085"/>
      <c r="K243" s="1085"/>
      <c r="L243" s="932"/>
    </row>
    <row r="244" spans="1:12" s="106" customFormat="1" ht="15.75" hidden="1" customHeight="1" outlineLevel="1">
      <c r="A244" s="932"/>
      <c r="B244" s="1086">
        <v>78</v>
      </c>
      <c r="C244" s="1095"/>
      <c r="D244" s="1091"/>
      <c r="E244" s="1091" t="s">
        <v>20</v>
      </c>
      <c r="F244" s="1093" t="str">
        <f>VLOOKUP(E244,$N$13:$O$17,2,0)</f>
        <v>-</v>
      </c>
      <c r="G244" s="95"/>
      <c r="H244" s="839"/>
      <c r="I244" s="1091"/>
      <c r="J244" s="1083"/>
      <c r="K244" s="1083"/>
      <c r="L244" s="932"/>
    </row>
    <row r="245" spans="1:12" s="106" customFormat="1" ht="15.75" hidden="1" customHeight="1" outlineLevel="1">
      <c r="A245" s="932"/>
      <c r="B245" s="1086"/>
      <c r="C245" s="1095"/>
      <c r="D245" s="1091"/>
      <c r="E245" s="1091"/>
      <c r="F245" s="1093"/>
      <c r="G245" s="98"/>
      <c r="H245" s="839"/>
      <c r="I245" s="1091"/>
      <c r="J245" s="1084"/>
      <c r="K245" s="1084"/>
      <c r="L245" s="932"/>
    </row>
    <row r="246" spans="1:12" s="106" customFormat="1" ht="15.75" hidden="1" customHeight="1" outlineLevel="1">
      <c r="A246" s="932"/>
      <c r="B246" s="1087"/>
      <c r="C246" s="1096"/>
      <c r="D246" s="1092"/>
      <c r="E246" s="1092"/>
      <c r="F246" s="1094"/>
      <c r="G246" s="103"/>
      <c r="H246" s="840"/>
      <c r="I246" s="1092"/>
      <c r="J246" s="1085"/>
      <c r="K246" s="1085"/>
      <c r="L246" s="932"/>
    </row>
    <row r="247" spans="1:12" s="106" customFormat="1" ht="15.75" hidden="1" customHeight="1" outlineLevel="1">
      <c r="A247" s="932"/>
      <c r="B247" s="1086">
        <v>79</v>
      </c>
      <c r="C247" s="1095"/>
      <c r="D247" s="1091"/>
      <c r="E247" s="1091" t="s">
        <v>20</v>
      </c>
      <c r="F247" s="1093" t="str">
        <f>VLOOKUP(E247,$N$13:$O$17,2,0)</f>
        <v>-</v>
      </c>
      <c r="G247" s="95"/>
      <c r="H247" s="839"/>
      <c r="I247" s="1091"/>
      <c r="J247" s="1083"/>
      <c r="K247" s="1083"/>
      <c r="L247" s="932"/>
    </row>
    <row r="248" spans="1:12" s="106" customFormat="1" ht="15.75" hidden="1" customHeight="1" outlineLevel="1">
      <c r="A248" s="932"/>
      <c r="B248" s="1086"/>
      <c r="C248" s="1095"/>
      <c r="D248" s="1091"/>
      <c r="E248" s="1091"/>
      <c r="F248" s="1093"/>
      <c r="G248" s="98"/>
      <c r="H248" s="839"/>
      <c r="I248" s="1091"/>
      <c r="J248" s="1084"/>
      <c r="K248" s="1084"/>
      <c r="L248" s="932"/>
    </row>
    <row r="249" spans="1:12" s="106" customFormat="1" ht="15.75" hidden="1" customHeight="1" outlineLevel="1">
      <c r="A249" s="932"/>
      <c r="B249" s="1087"/>
      <c r="C249" s="1096"/>
      <c r="D249" s="1092"/>
      <c r="E249" s="1092"/>
      <c r="F249" s="1094"/>
      <c r="G249" s="103"/>
      <c r="H249" s="840"/>
      <c r="I249" s="1092"/>
      <c r="J249" s="1085"/>
      <c r="K249" s="1085"/>
      <c r="L249" s="932"/>
    </row>
    <row r="250" spans="1:12" s="106" customFormat="1" ht="15.75" hidden="1" customHeight="1" outlineLevel="1">
      <c r="A250" s="932"/>
      <c r="B250" s="1086">
        <v>80</v>
      </c>
      <c r="C250" s="1095"/>
      <c r="D250" s="1091"/>
      <c r="E250" s="1091" t="s">
        <v>20</v>
      </c>
      <c r="F250" s="1093" t="str">
        <f>VLOOKUP(E250,$N$13:$O$17,2,0)</f>
        <v>-</v>
      </c>
      <c r="G250" s="95"/>
      <c r="H250" s="839"/>
      <c r="I250" s="1091"/>
      <c r="J250" s="1083"/>
      <c r="K250" s="1083"/>
      <c r="L250" s="932"/>
    </row>
    <row r="251" spans="1:12" s="106" customFormat="1" ht="15.75" hidden="1" customHeight="1" outlineLevel="1">
      <c r="A251" s="932"/>
      <c r="B251" s="1086"/>
      <c r="C251" s="1095"/>
      <c r="D251" s="1091"/>
      <c r="E251" s="1091"/>
      <c r="F251" s="1093"/>
      <c r="G251" s="98"/>
      <c r="H251" s="839"/>
      <c r="I251" s="1091"/>
      <c r="J251" s="1084"/>
      <c r="K251" s="1084"/>
      <c r="L251" s="932"/>
    </row>
    <row r="252" spans="1:12" s="106" customFormat="1" ht="15.75" hidden="1" customHeight="1" outlineLevel="1">
      <c r="A252" s="932"/>
      <c r="B252" s="1087"/>
      <c r="C252" s="1096"/>
      <c r="D252" s="1092"/>
      <c r="E252" s="1092"/>
      <c r="F252" s="1094"/>
      <c r="G252" s="103"/>
      <c r="H252" s="840"/>
      <c r="I252" s="1092"/>
      <c r="J252" s="1085"/>
      <c r="K252" s="1085"/>
      <c r="L252" s="932"/>
    </row>
    <row r="253" spans="1:12" s="106" customFormat="1" ht="15.75" hidden="1" customHeight="1" outlineLevel="1">
      <c r="A253" s="932"/>
      <c r="B253" s="1086">
        <v>81</v>
      </c>
      <c r="C253" s="1095"/>
      <c r="D253" s="1091"/>
      <c r="E253" s="1091" t="s">
        <v>20</v>
      </c>
      <c r="F253" s="1093" t="str">
        <f>VLOOKUP(E253,$N$13:$O$17,2,0)</f>
        <v>-</v>
      </c>
      <c r="G253" s="95"/>
      <c r="H253" s="839"/>
      <c r="I253" s="1091"/>
      <c r="J253" s="1083"/>
      <c r="K253" s="1083"/>
      <c r="L253" s="932"/>
    </row>
    <row r="254" spans="1:12" s="106" customFormat="1" ht="15.75" hidden="1" customHeight="1" outlineLevel="1">
      <c r="A254" s="932"/>
      <c r="B254" s="1086"/>
      <c r="C254" s="1095"/>
      <c r="D254" s="1091"/>
      <c r="E254" s="1091"/>
      <c r="F254" s="1093"/>
      <c r="G254" s="98"/>
      <c r="H254" s="839"/>
      <c r="I254" s="1091"/>
      <c r="J254" s="1084"/>
      <c r="K254" s="1084"/>
      <c r="L254" s="932"/>
    </row>
    <row r="255" spans="1:12" s="106" customFormat="1" ht="15.75" hidden="1" customHeight="1" outlineLevel="1">
      <c r="A255" s="932"/>
      <c r="B255" s="1087"/>
      <c r="C255" s="1096"/>
      <c r="D255" s="1092"/>
      <c r="E255" s="1092"/>
      <c r="F255" s="1094"/>
      <c r="G255" s="103"/>
      <c r="H255" s="840"/>
      <c r="I255" s="1092"/>
      <c r="J255" s="1085"/>
      <c r="K255" s="1085"/>
      <c r="L255" s="932"/>
    </row>
    <row r="256" spans="1:12" s="106" customFormat="1" ht="15.75" hidden="1" customHeight="1" outlineLevel="1">
      <c r="A256" s="932"/>
      <c r="B256" s="1086">
        <v>82</v>
      </c>
      <c r="C256" s="1095"/>
      <c r="D256" s="1091"/>
      <c r="E256" s="1091" t="s">
        <v>20</v>
      </c>
      <c r="F256" s="1093" t="str">
        <f>VLOOKUP(E256,$N$13:$O$17,2,0)</f>
        <v>-</v>
      </c>
      <c r="G256" s="95"/>
      <c r="H256" s="839"/>
      <c r="I256" s="1091"/>
      <c r="J256" s="1083"/>
      <c r="K256" s="1083"/>
      <c r="L256" s="932"/>
    </row>
    <row r="257" spans="1:12" s="106" customFormat="1" ht="15.75" hidden="1" customHeight="1" outlineLevel="1">
      <c r="A257" s="932"/>
      <c r="B257" s="1086"/>
      <c r="C257" s="1095"/>
      <c r="D257" s="1091"/>
      <c r="E257" s="1091"/>
      <c r="F257" s="1093"/>
      <c r="G257" s="98"/>
      <c r="H257" s="839"/>
      <c r="I257" s="1091"/>
      <c r="J257" s="1084"/>
      <c r="K257" s="1084"/>
      <c r="L257" s="932"/>
    </row>
    <row r="258" spans="1:12" s="106" customFormat="1" ht="15.75" hidden="1" customHeight="1" outlineLevel="1">
      <c r="A258" s="932"/>
      <c r="B258" s="1087"/>
      <c r="C258" s="1096"/>
      <c r="D258" s="1092"/>
      <c r="E258" s="1092"/>
      <c r="F258" s="1094"/>
      <c r="G258" s="103"/>
      <c r="H258" s="840"/>
      <c r="I258" s="1092"/>
      <c r="J258" s="1085"/>
      <c r="K258" s="1085"/>
      <c r="L258" s="932"/>
    </row>
    <row r="259" spans="1:12" s="106" customFormat="1" ht="15.75" hidden="1" customHeight="1" outlineLevel="1">
      <c r="A259" s="932"/>
      <c r="B259" s="1086">
        <v>83</v>
      </c>
      <c r="C259" s="1095"/>
      <c r="D259" s="1091"/>
      <c r="E259" s="1091" t="s">
        <v>20</v>
      </c>
      <c r="F259" s="1093" t="str">
        <f>VLOOKUP(E259,$N$13:$O$17,2,0)</f>
        <v>-</v>
      </c>
      <c r="G259" s="95"/>
      <c r="H259" s="839"/>
      <c r="I259" s="1091"/>
      <c r="J259" s="1083"/>
      <c r="K259" s="1083"/>
      <c r="L259" s="932"/>
    </row>
    <row r="260" spans="1:12" s="106" customFormat="1" ht="15.75" hidden="1" customHeight="1" outlineLevel="1">
      <c r="A260" s="932"/>
      <c r="B260" s="1086"/>
      <c r="C260" s="1095"/>
      <c r="D260" s="1091"/>
      <c r="E260" s="1091"/>
      <c r="F260" s="1093"/>
      <c r="G260" s="98"/>
      <c r="H260" s="839"/>
      <c r="I260" s="1091"/>
      <c r="J260" s="1084"/>
      <c r="K260" s="1084"/>
      <c r="L260" s="932"/>
    </row>
    <row r="261" spans="1:12" s="106" customFormat="1" ht="15.75" hidden="1" customHeight="1" outlineLevel="1">
      <c r="A261" s="932"/>
      <c r="B261" s="1087"/>
      <c r="C261" s="1096"/>
      <c r="D261" s="1092"/>
      <c r="E261" s="1092"/>
      <c r="F261" s="1094"/>
      <c r="G261" s="103"/>
      <c r="H261" s="840"/>
      <c r="I261" s="1092"/>
      <c r="J261" s="1085"/>
      <c r="K261" s="1085"/>
      <c r="L261" s="932"/>
    </row>
    <row r="262" spans="1:12" s="106" customFormat="1" ht="15.75" hidden="1" customHeight="1" outlineLevel="1">
      <c r="A262" s="932"/>
      <c r="B262" s="1086">
        <v>84</v>
      </c>
      <c r="C262" s="1095"/>
      <c r="D262" s="1091"/>
      <c r="E262" s="1091" t="s">
        <v>20</v>
      </c>
      <c r="F262" s="1093" t="str">
        <f>VLOOKUP(E262,$N$13:$O$17,2,0)</f>
        <v>-</v>
      </c>
      <c r="G262" s="95"/>
      <c r="H262" s="839"/>
      <c r="I262" s="1091"/>
      <c r="J262" s="1083"/>
      <c r="K262" s="1083"/>
      <c r="L262" s="932"/>
    </row>
    <row r="263" spans="1:12" s="106" customFormat="1" ht="15.75" hidden="1" customHeight="1" outlineLevel="1">
      <c r="A263" s="932"/>
      <c r="B263" s="1086"/>
      <c r="C263" s="1095"/>
      <c r="D263" s="1091"/>
      <c r="E263" s="1091"/>
      <c r="F263" s="1093"/>
      <c r="G263" s="98"/>
      <c r="H263" s="839"/>
      <c r="I263" s="1091"/>
      <c r="J263" s="1084"/>
      <c r="K263" s="1084"/>
      <c r="L263" s="932"/>
    </row>
    <row r="264" spans="1:12" s="106" customFormat="1" ht="15.75" hidden="1" customHeight="1" outlineLevel="1">
      <c r="A264" s="932"/>
      <c r="B264" s="1087"/>
      <c r="C264" s="1096"/>
      <c r="D264" s="1092"/>
      <c r="E264" s="1092"/>
      <c r="F264" s="1094"/>
      <c r="G264" s="103"/>
      <c r="H264" s="840"/>
      <c r="I264" s="1092"/>
      <c r="J264" s="1085"/>
      <c r="K264" s="1085"/>
      <c r="L264" s="932"/>
    </row>
    <row r="265" spans="1:12" s="106" customFormat="1" ht="15.75" hidden="1" customHeight="1" outlineLevel="1">
      <c r="A265" s="932"/>
      <c r="B265" s="1086">
        <v>85</v>
      </c>
      <c r="C265" s="1095"/>
      <c r="D265" s="1091"/>
      <c r="E265" s="1091" t="s">
        <v>20</v>
      </c>
      <c r="F265" s="1093" t="str">
        <f>VLOOKUP(E265,$N$13:$O$17,2,0)</f>
        <v>-</v>
      </c>
      <c r="G265" s="95"/>
      <c r="H265" s="839"/>
      <c r="I265" s="1091"/>
      <c r="J265" s="1083"/>
      <c r="K265" s="1083"/>
      <c r="L265" s="932"/>
    </row>
    <row r="266" spans="1:12" s="106" customFormat="1" ht="15.75" hidden="1" customHeight="1" outlineLevel="1">
      <c r="A266" s="932"/>
      <c r="B266" s="1086"/>
      <c r="C266" s="1095"/>
      <c r="D266" s="1091"/>
      <c r="E266" s="1091"/>
      <c r="F266" s="1093"/>
      <c r="G266" s="98"/>
      <c r="H266" s="839"/>
      <c r="I266" s="1091"/>
      <c r="J266" s="1084"/>
      <c r="K266" s="1084"/>
      <c r="L266" s="932"/>
    </row>
    <row r="267" spans="1:12" s="106" customFormat="1" ht="15.75" hidden="1" customHeight="1" outlineLevel="1">
      <c r="A267" s="932"/>
      <c r="B267" s="1087"/>
      <c r="C267" s="1096"/>
      <c r="D267" s="1092"/>
      <c r="E267" s="1092"/>
      <c r="F267" s="1094"/>
      <c r="G267" s="103"/>
      <c r="H267" s="840"/>
      <c r="I267" s="1092"/>
      <c r="J267" s="1085"/>
      <c r="K267" s="1085"/>
      <c r="L267" s="932"/>
    </row>
    <row r="268" spans="1:12" s="106" customFormat="1" ht="15.75" hidden="1" customHeight="1" outlineLevel="1">
      <c r="A268" s="932"/>
      <c r="B268" s="1086">
        <v>86</v>
      </c>
      <c r="C268" s="1095"/>
      <c r="D268" s="1091"/>
      <c r="E268" s="1091" t="s">
        <v>20</v>
      </c>
      <c r="F268" s="1093" t="str">
        <f>VLOOKUP(E268,$N$13:$O$17,2,0)</f>
        <v>-</v>
      </c>
      <c r="G268" s="95"/>
      <c r="H268" s="839"/>
      <c r="I268" s="1091"/>
      <c r="J268" s="1083"/>
      <c r="K268" s="1083"/>
      <c r="L268" s="932"/>
    </row>
    <row r="269" spans="1:12" s="106" customFormat="1" ht="15.75" hidden="1" customHeight="1" outlineLevel="1">
      <c r="A269" s="932"/>
      <c r="B269" s="1086"/>
      <c r="C269" s="1095"/>
      <c r="D269" s="1091"/>
      <c r="E269" s="1091"/>
      <c r="F269" s="1093"/>
      <c r="G269" s="98"/>
      <c r="H269" s="839"/>
      <c r="I269" s="1091"/>
      <c r="J269" s="1084"/>
      <c r="K269" s="1084"/>
      <c r="L269" s="932"/>
    </row>
    <row r="270" spans="1:12" s="106" customFormat="1" ht="15.75" hidden="1" customHeight="1" outlineLevel="1">
      <c r="A270" s="932"/>
      <c r="B270" s="1087"/>
      <c r="C270" s="1096"/>
      <c r="D270" s="1092"/>
      <c r="E270" s="1092"/>
      <c r="F270" s="1094"/>
      <c r="G270" s="103"/>
      <c r="H270" s="840"/>
      <c r="I270" s="1092"/>
      <c r="J270" s="1085"/>
      <c r="K270" s="1085"/>
      <c r="L270" s="932"/>
    </row>
    <row r="271" spans="1:12" s="106" customFormat="1" ht="15.75" hidden="1" customHeight="1" outlineLevel="1">
      <c r="A271" s="932"/>
      <c r="B271" s="1086">
        <v>87</v>
      </c>
      <c r="C271" s="1095"/>
      <c r="D271" s="1091"/>
      <c r="E271" s="1091" t="s">
        <v>20</v>
      </c>
      <c r="F271" s="1093" t="str">
        <f>VLOOKUP(E271,$N$13:$O$17,2,0)</f>
        <v>-</v>
      </c>
      <c r="G271" s="95"/>
      <c r="H271" s="839"/>
      <c r="I271" s="1091"/>
      <c r="J271" s="1083"/>
      <c r="K271" s="1083"/>
      <c r="L271" s="932"/>
    </row>
    <row r="272" spans="1:12" s="106" customFormat="1" ht="15.75" hidden="1" customHeight="1" outlineLevel="1">
      <c r="A272" s="932"/>
      <c r="B272" s="1086"/>
      <c r="C272" s="1095"/>
      <c r="D272" s="1091"/>
      <c r="E272" s="1091"/>
      <c r="F272" s="1093"/>
      <c r="G272" s="98"/>
      <c r="H272" s="839"/>
      <c r="I272" s="1091"/>
      <c r="J272" s="1084"/>
      <c r="K272" s="1084"/>
      <c r="L272" s="932"/>
    </row>
    <row r="273" spans="1:12" s="106" customFormat="1" ht="15.75" hidden="1" customHeight="1" outlineLevel="1">
      <c r="A273" s="932"/>
      <c r="B273" s="1087"/>
      <c r="C273" s="1096"/>
      <c r="D273" s="1092"/>
      <c r="E273" s="1092"/>
      <c r="F273" s="1094"/>
      <c r="G273" s="103"/>
      <c r="H273" s="840"/>
      <c r="I273" s="1092"/>
      <c r="J273" s="1085"/>
      <c r="K273" s="1085"/>
      <c r="L273" s="932"/>
    </row>
    <row r="274" spans="1:12" s="106" customFormat="1" ht="15.75" hidden="1" customHeight="1" outlineLevel="1">
      <c r="A274" s="932"/>
      <c r="B274" s="1086">
        <v>88</v>
      </c>
      <c r="C274" s="1095"/>
      <c r="D274" s="1091"/>
      <c r="E274" s="1091" t="s">
        <v>20</v>
      </c>
      <c r="F274" s="1093" t="str">
        <f>VLOOKUP(E274,$N$13:$O$17,2,0)</f>
        <v>-</v>
      </c>
      <c r="G274" s="95"/>
      <c r="H274" s="839"/>
      <c r="I274" s="1091"/>
      <c r="J274" s="1083"/>
      <c r="K274" s="1083"/>
      <c r="L274" s="932"/>
    </row>
    <row r="275" spans="1:12" s="106" customFormat="1" ht="15.75" hidden="1" customHeight="1" outlineLevel="1">
      <c r="A275" s="932"/>
      <c r="B275" s="1086"/>
      <c r="C275" s="1095"/>
      <c r="D275" s="1091"/>
      <c r="E275" s="1091"/>
      <c r="F275" s="1093"/>
      <c r="G275" s="98"/>
      <c r="H275" s="839"/>
      <c r="I275" s="1091"/>
      <c r="J275" s="1084"/>
      <c r="K275" s="1084"/>
      <c r="L275" s="932"/>
    </row>
    <row r="276" spans="1:12" s="106" customFormat="1" ht="15.75" hidden="1" customHeight="1" outlineLevel="1">
      <c r="A276" s="932"/>
      <c r="B276" s="1087"/>
      <c r="C276" s="1096"/>
      <c r="D276" s="1092"/>
      <c r="E276" s="1092"/>
      <c r="F276" s="1094"/>
      <c r="G276" s="103"/>
      <c r="H276" s="840"/>
      <c r="I276" s="1092"/>
      <c r="J276" s="1085"/>
      <c r="K276" s="1085"/>
      <c r="L276" s="932"/>
    </row>
    <row r="277" spans="1:12" s="106" customFormat="1" ht="15.75" hidden="1" customHeight="1" outlineLevel="1">
      <c r="A277" s="932"/>
      <c r="B277" s="1086">
        <v>89</v>
      </c>
      <c r="C277" s="1095"/>
      <c r="D277" s="1091"/>
      <c r="E277" s="1091" t="s">
        <v>20</v>
      </c>
      <c r="F277" s="1093" t="str">
        <f>VLOOKUP(E277,$N$13:$O$17,2,0)</f>
        <v>-</v>
      </c>
      <c r="G277" s="95"/>
      <c r="H277" s="839"/>
      <c r="I277" s="1091"/>
      <c r="J277" s="1083"/>
      <c r="K277" s="1083"/>
      <c r="L277" s="932"/>
    </row>
    <row r="278" spans="1:12" s="106" customFormat="1" ht="15.75" hidden="1" customHeight="1" outlineLevel="1">
      <c r="A278" s="932"/>
      <c r="B278" s="1086"/>
      <c r="C278" s="1095"/>
      <c r="D278" s="1091"/>
      <c r="E278" s="1091"/>
      <c r="F278" s="1093"/>
      <c r="G278" s="98"/>
      <c r="H278" s="839"/>
      <c r="I278" s="1091"/>
      <c r="J278" s="1084"/>
      <c r="K278" s="1084"/>
      <c r="L278" s="932"/>
    </row>
    <row r="279" spans="1:12" s="106" customFormat="1" ht="15.75" hidden="1" customHeight="1" outlineLevel="1">
      <c r="A279" s="932"/>
      <c r="B279" s="1087"/>
      <c r="C279" s="1096"/>
      <c r="D279" s="1092"/>
      <c r="E279" s="1092"/>
      <c r="F279" s="1094"/>
      <c r="G279" s="103"/>
      <c r="H279" s="840"/>
      <c r="I279" s="1092"/>
      <c r="J279" s="1085"/>
      <c r="K279" s="1085"/>
      <c r="L279" s="932"/>
    </row>
    <row r="280" spans="1:12" s="106" customFormat="1" ht="15.75" hidden="1" customHeight="1" outlineLevel="1">
      <c r="A280" s="932"/>
      <c r="B280" s="1086">
        <v>90</v>
      </c>
      <c r="C280" s="1095"/>
      <c r="D280" s="1091"/>
      <c r="E280" s="1091" t="s">
        <v>20</v>
      </c>
      <c r="F280" s="1093" t="str">
        <f>VLOOKUP(E280,$N$13:$O$17,2,0)</f>
        <v>-</v>
      </c>
      <c r="G280" s="95"/>
      <c r="H280" s="839"/>
      <c r="I280" s="1091"/>
      <c r="J280" s="1083"/>
      <c r="K280" s="1083"/>
      <c r="L280" s="932"/>
    </row>
    <row r="281" spans="1:12" s="106" customFormat="1" ht="15.75" hidden="1" customHeight="1" outlineLevel="1">
      <c r="A281" s="932"/>
      <c r="B281" s="1086"/>
      <c r="C281" s="1095"/>
      <c r="D281" s="1091"/>
      <c r="E281" s="1091"/>
      <c r="F281" s="1093"/>
      <c r="G281" s="98"/>
      <c r="H281" s="839"/>
      <c r="I281" s="1091"/>
      <c r="J281" s="1084"/>
      <c r="K281" s="1084"/>
      <c r="L281" s="932"/>
    </row>
    <row r="282" spans="1:12" s="106" customFormat="1" ht="15.75" hidden="1" customHeight="1" outlineLevel="1">
      <c r="A282" s="932"/>
      <c r="B282" s="1087"/>
      <c r="C282" s="1096"/>
      <c r="D282" s="1092"/>
      <c r="E282" s="1092"/>
      <c r="F282" s="1094"/>
      <c r="G282" s="103"/>
      <c r="H282" s="840"/>
      <c r="I282" s="1092"/>
      <c r="J282" s="1085"/>
      <c r="K282" s="1085"/>
      <c r="L282" s="932"/>
    </row>
    <row r="283" spans="1:12" s="106" customFormat="1" ht="15.75" hidden="1" customHeight="1" outlineLevel="1">
      <c r="A283" s="932"/>
      <c r="B283" s="1086">
        <v>91</v>
      </c>
      <c r="C283" s="1095"/>
      <c r="D283" s="1091"/>
      <c r="E283" s="1091" t="s">
        <v>20</v>
      </c>
      <c r="F283" s="1093" t="str">
        <f>VLOOKUP(E283,$N$13:$O$17,2,0)</f>
        <v>-</v>
      </c>
      <c r="G283" s="95"/>
      <c r="H283" s="839"/>
      <c r="I283" s="1091"/>
      <c r="J283" s="1083"/>
      <c r="K283" s="1083"/>
      <c r="L283" s="932"/>
    </row>
    <row r="284" spans="1:12" s="106" customFormat="1" ht="15.75" hidden="1" customHeight="1" outlineLevel="1">
      <c r="A284" s="932"/>
      <c r="B284" s="1086"/>
      <c r="C284" s="1095"/>
      <c r="D284" s="1091"/>
      <c r="E284" s="1091"/>
      <c r="F284" s="1093"/>
      <c r="G284" s="98"/>
      <c r="H284" s="839"/>
      <c r="I284" s="1091"/>
      <c r="J284" s="1084"/>
      <c r="K284" s="1084"/>
      <c r="L284" s="932"/>
    </row>
    <row r="285" spans="1:12" s="106" customFormat="1" ht="15.75" hidden="1" customHeight="1" outlineLevel="1">
      <c r="A285" s="932"/>
      <c r="B285" s="1087"/>
      <c r="C285" s="1096"/>
      <c r="D285" s="1092"/>
      <c r="E285" s="1092"/>
      <c r="F285" s="1094"/>
      <c r="G285" s="103"/>
      <c r="H285" s="840"/>
      <c r="I285" s="1092"/>
      <c r="J285" s="1085"/>
      <c r="K285" s="1085"/>
      <c r="L285" s="932"/>
    </row>
    <row r="286" spans="1:12" s="106" customFormat="1" ht="15.75" hidden="1" customHeight="1" outlineLevel="1">
      <c r="A286" s="932"/>
      <c r="B286" s="1086">
        <v>92</v>
      </c>
      <c r="C286" s="1095"/>
      <c r="D286" s="1091"/>
      <c r="E286" s="1091" t="s">
        <v>20</v>
      </c>
      <c r="F286" s="1093" t="str">
        <f>VLOOKUP(E286,$N$13:$O$17,2,0)</f>
        <v>-</v>
      </c>
      <c r="G286" s="95"/>
      <c r="H286" s="839"/>
      <c r="I286" s="1091"/>
      <c r="J286" s="1083"/>
      <c r="K286" s="1083"/>
      <c r="L286" s="932"/>
    </row>
    <row r="287" spans="1:12" s="106" customFormat="1" ht="15.75" hidden="1" customHeight="1" outlineLevel="1">
      <c r="A287" s="932"/>
      <c r="B287" s="1086"/>
      <c r="C287" s="1095"/>
      <c r="D287" s="1091"/>
      <c r="E287" s="1091"/>
      <c r="F287" s="1093"/>
      <c r="G287" s="98"/>
      <c r="H287" s="839"/>
      <c r="I287" s="1091"/>
      <c r="J287" s="1084"/>
      <c r="K287" s="1084"/>
      <c r="L287" s="932"/>
    </row>
    <row r="288" spans="1:12" s="106" customFormat="1" ht="15.75" hidden="1" customHeight="1" outlineLevel="1">
      <c r="A288" s="932"/>
      <c r="B288" s="1087"/>
      <c r="C288" s="1096"/>
      <c r="D288" s="1092"/>
      <c r="E288" s="1092"/>
      <c r="F288" s="1094"/>
      <c r="G288" s="103"/>
      <c r="H288" s="840"/>
      <c r="I288" s="1092"/>
      <c r="J288" s="1085"/>
      <c r="K288" s="1085"/>
      <c r="L288" s="932"/>
    </row>
    <row r="289" spans="1:12" s="106" customFormat="1" ht="15.75" hidden="1" customHeight="1" outlineLevel="1">
      <c r="A289" s="932"/>
      <c r="B289" s="1086">
        <v>93</v>
      </c>
      <c r="C289" s="1095"/>
      <c r="D289" s="1091"/>
      <c r="E289" s="1091" t="s">
        <v>20</v>
      </c>
      <c r="F289" s="1093" t="str">
        <f>VLOOKUP(E289,$N$13:$O$17,2,0)</f>
        <v>-</v>
      </c>
      <c r="G289" s="95"/>
      <c r="H289" s="839"/>
      <c r="I289" s="1091"/>
      <c r="J289" s="1083"/>
      <c r="K289" s="1083"/>
      <c r="L289" s="932"/>
    </row>
    <row r="290" spans="1:12" s="106" customFormat="1" ht="15.75" hidden="1" customHeight="1" outlineLevel="1">
      <c r="A290" s="932"/>
      <c r="B290" s="1086"/>
      <c r="C290" s="1095"/>
      <c r="D290" s="1091"/>
      <c r="E290" s="1091"/>
      <c r="F290" s="1093"/>
      <c r="G290" s="98"/>
      <c r="H290" s="839"/>
      <c r="I290" s="1091"/>
      <c r="J290" s="1084"/>
      <c r="K290" s="1084"/>
      <c r="L290" s="932"/>
    </row>
    <row r="291" spans="1:12" s="106" customFormat="1" ht="15.75" hidden="1" customHeight="1" outlineLevel="1">
      <c r="A291" s="932"/>
      <c r="B291" s="1087"/>
      <c r="C291" s="1096"/>
      <c r="D291" s="1092"/>
      <c r="E291" s="1092"/>
      <c r="F291" s="1094"/>
      <c r="G291" s="103"/>
      <c r="H291" s="840"/>
      <c r="I291" s="1092"/>
      <c r="J291" s="1085"/>
      <c r="K291" s="1085"/>
      <c r="L291" s="932"/>
    </row>
    <row r="292" spans="1:12" s="106" customFormat="1" ht="15.75" hidden="1" customHeight="1" outlineLevel="1">
      <c r="A292" s="932"/>
      <c r="B292" s="1086">
        <v>94</v>
      </c>
      <c r="C292" s="1095"/>
      <c r="D292" s="1091"/>
      <c r="E292" s="1091" t="s">
        <v>20</v>
      </c>
      <c r="F292" s="1093" t="str">
        <f>VLOOKUP(E292,$N$13:$O$17,2,0)</f>
        <v>-</v>
      </c>
      <c r="G292" s="95"/>
      <c r="H292" s="839"/>
      <c r="I292" s="1091"/>
      <c r="J292" s="1083"/>
      <c r="K292" s="1083"/>
      <c r="L292" s="932"/>
    </row>
    <row r="293" spans="1:12" s="106" customFormat="1" ht="15.75" hidden="1" customHeight="1" outlineLevel="1">
      <c r="A293" s="932"/>
      <c r="B293" s="1086"/>
      <c r="C293" s="1095"/>
      <c r="D293" s="1091"/>
      <c r="E293" s="1091"/>
      <c r="F293" s="1093"/>
      <c r="G293" s="98"/>
      <c r="H293" s="839"/>
      <c r="I293" s="1091"/>
      <c r="J293" s="1084"/>
      <c r="K293" s="1084"/>
      <c r="L293" s="932"/>
    </row>
    <row r="294" spans="1:12" s="106" customFormat="1" ht="15.75" hidden="1" customHeight="1" outlineLevel="1">
      <c r="A294" s="932"/>
      <c r="B294" s="1087"/>
      <c r="C294" s="1096"/>
      <c r="D294" s="1092"/>
      <c r="E294" s="1092"/>
      <c r="F294" s="1094"/>
      <c r="G294" s="103"/>
      <c r="H294" s="840"/>
      <c r="I294" s="1092"/>
      <c r="J294" s="1085"/>
      <c r="K294" s="1085"/>
      <c r="L294" s="932"/>
    </row>
    <row r="295" spans="1:12" s="106" customFormat="1" ht="15.75" hidden="1" customHeight="1" outlineLevel="1">
      <c r="A295" s="932"/>
      <c r="B295" s="1086">
        <v>95</v>
      </c>
      <c r="C295" s="1095"/>
      <c r="D295" s="1091"/>
      <c r="E295" s="1091" t="s">
        <v>20</v>
      </c>
      <c r="F295" s="1093" t="str">
        <f>VLOOKUP(E295,$N$13:$O$17,2,0)</f>
        <v>-</v>
      </c>
      <c r="G295" s="95"/>
      <c r="H295" s="839"/>
      <c r="I295" s="1091"/>
      <c r="J295" s="1083"/>
      <c r="K295" s="1083"/>
      <c r="L295" s="932"/>
    </row>
    <row r="296" spans="1:12" s="106" customFormat="1" ht="15.75" hidden="1" customHeight="1" outlineLevel="1">
      <c r="A296" s="932"/>
      <c r="B296" s="1086"/>
      <c r="C296" s="1095"/>
      <c r="D296" s="1091"/>
      <c r="E296" s="1091"/>
      <c r="F296" s="1093"/>
      <c r="G296" s="98"/>
      <c r="H296" s="839"/>
      <c r="I296" s="1091"/>
      <c r="J296" s="1084"/>
      <c r="K296" s="1084"/>
      <c r="L296" s="932"/>
    </row>
    <row r="297" spans="1:12" s="106" customFormat="1" ht="15.75" hidden="1" customHeight="1" outlineLevel="1">
      <c r="A297" s="932"/>
      <c r="B297" s="1087"/>
      <c r="C297" s="1096"/>
      <c r="D297" s="1092"/>
      <c r="E297" s="1092"/>
      <c r="F297" s="1094"/>
      <c r="G297" s="103"/>
      <c r="H297" s="840"/>
      <c r="I297" s="1092"/>
      <c r="J297" s="1085"/>
      <c r="K297" s="1085"/>
      <c r="L297" s="932"/>
    </row>
    <row r="298" spans="1:12" s="106" customFormat="1" ht="15.75" hidden="1" customHeight="1" outlineLevel="1">
      <c r="A298" s="932"/>
      <c r="B298" s="1086">
        <v>96</v>
      </c>
      <c r="C298" s="1095"/>
      <c r="D298" s="1091"/>
      <c r="E298" s="1091" t="s">
        <v>20</v>
      </c>
      <c r="F298" s="1093" t="str">
        <f>VLOOKUP(E298,$N$13:$O$17,2,0)</f>
        <v>-</v>
      </c>
      <c r="G298" s="95"/>
      <c r="H298" s="839"/>
      <c r="I298" s="1091"/>
      <c r="J298" s="1083"/>
      <c r="K298" s="1083"/>
      <c r="L298" s="932"/>
    </row>
    <row r="299" spans="1:12" s="106" customFormat="1" ht="15.75" hidden="1" customHeight="1" outlineLevel="1">
      <c r="A299" s="932"/>
      <c r="B299" s="1086"/>
      <c r="C299" s="1095"/>
      <c r="D299" s="1091"/>
      <c r="E299" s="1091"/>
      <c r="F299" s="1093"/>
      <c r="G299" s="98"/>
      <c r="H299" s="839"/>
      <c r="I299" s="1091"/>
      <c r="J299" s="1084"/>
      <c r="K299" s="1084"/>
      <c r="L299" s="932"/>
    </row>
    <row r="300" spans="1:12" s="106" customFormat="1" ht="15.75" hidden="1" customHeight="1" outlineLevel="1">
      <c r="A300" s="932"/>
      <c r="B300" s="1087"/>
      <c r="C300" s="1096"/>
      <c r="D300" s="1092"/>
      <c r="E300" s="1092"/>
      <c r="F300" s="1094"/>
      <c r="G300" s="103"/>
      <c r="H300" s="840"/>
      <c r="I300" s="1092"/>
      <c r="J300" s="1085"/>
      <c r="K300" s="1085"/>
      <c r="L300" s="932"/>
    </row>
    <row r="301" spans="1:12" s="106" customFormat="1" ht="15.75" hidden="1" customHeight="1" outlineLevel="1">
      <c r="A301" s="932"/>
      <c r="B301" s="1086">
        <v>97</v>
      </c>
      <c r="C301" s="1095"/>
      <c r="D301" s="1091"/>
      <c r="E301" s="1091" t="s">
        <v>20</v>
      </c>
      <c r="F301" s="1093" t="str">
        <f>VLOOKUP(E301,$N$13:$O$17,2,0)</f>
        <v>-</v>
      </c>
      <c r="G301" s="95"/>
      <c r="H301" s="839"/>
      <c r="I301" s="1091"/>
      <c r="J301" s="1083"/>
      <c r="K301" s="1083"/>
      <c r="L301" s="932"/>
    </row>
    <row r="302" spans="1:12" s="106" customFormat="1" ht="15.75" hidden="1" customHeight="1" outlineLevel="1">
      <c r="A302" s="932"/>
      <c r="B302" s="1086"/>
      <c r="C302" s="1095"/>
      <c r="D302" s="1091"/>
      <c r="E302" s="1091"/>
      <c r="F302" s="1093"/>
      <c r="G302" s="98"/>
      <c r="H302" s="839"/>
      <c r="I302" s="1091"/>
      <c r="J302" s="1084"/>
      <c r="K302" s="1084"/>
      <c r="L302" s="932"/>
    </row>
    <row r="303" spans="1:12" s="106" customFormat="1" ht="15.75" hidden="1" customHeight="1" outlineLevel="1">
      <c r="A303" s="932"/>
      <c r="B303" s="1087"/>
      <c r="C303" s="1096"/>
      <c r="D303" s="1092"/>
      <c r="E303" s="1092"/>
      <c r="F303" s="1094"/>
      <c r="G303" s="103"/>
      <c r="H303" s="840"/>
      <c r="I303" s="1092"/>
      <c r="J303" s="1085"/>
      <c r="K303" s="1085"/>
      <c r="L303" s="932"/>
    </row>
    <row r="304" spans="1:12" s="106" customFormat="1" ht="15.75" hidden="1" customHeight="1" outlineLevel="1">
      <c r="A304" s="932"/>
      <c r="B304" s="1086">
        <v>98</v>
      </c>
      <c r="C304" s="1095"/>
      <c r="D304" s="1091"/>
      <c r="E304" s="1091" t="s">
        <v>20</v>
      </c>
      <c r="F304" s="1093" t="str">
        <f>VLOOKUP(E304,$N$13:$O$17,2,0)</f>
        <v>-</v>
      </c>
      <c r="G304" s="95"/>
      <c r="H304" s="839"/>
      <c r="I304" s="1091"/>
      <c r="J304" s="1083"/>
      <c r="K304" s="1083"/>
      <c r="L304" s="932"/>
    </row>
    <row r="305" spans="1:12" s="106" customFormat="1" ht="15.75" hidden="1" customHeight="1" outlineLevel="1">
      <c r="A305" s="932"/>
      <c r="B305" s="1086"/>
      <c r="C305" s="1095"/>
      <c r="D305" s="1091"/>
      <c r="E305" s="1091"/>
      <c r="F305" s="1093"/>
      <c r="G305" s="98"/>
      <c r="H305" s="839"/>
      <c r="I305" s="1091"/>
      <c r="J305" s="1084"/>
      <c r="K305" s="1084"/>
      <c r="L305" s="932"/>
    </row>
    <row r="306" spans="1:12" s="106" customFormat="1" ht="15.75" hidden="1" customHeight="1" outlineLevel="1">
      <c r="A306" s="932"/>
      <c r="B306" s="1087"/>
      <c r="C306" s="1096"/>
      <c r="D306" s="1092"/>
      <c r="E306" s="1092"/>
      <c r="F306" s="1094"/>
      <c r="G306" s="103"/>
      <c r="H306" s="840"/>
      <c r="I306" s="1092"/>
      <c r="J306" s="1085"/>
      <c r="K306" s="1085"/>
      <c r="L306" s="932"/>
    </row>
    <row r="307" spans="1:12" s="106" customFormat="1" ht="15.75" hidden="1" customHeight="1" outlineLevel="1">
      <c r="A307" s="932"/>
      <c r="B307" s="1086">
        <v>99</v>
      </c>
      <c r="C307" s="1095"/>
      <c r="D307" s="1091"/>
      <c r="E307" s="1091" t="s">
        <v>20</v>
      </c>
      <c r="F307" s="1093" t="str">
        <f>VLOOKUP(E307,$N$13:$O$17,2,0)</f>
        <v>-</v>
      </c>
      <c r="G307" s="95"/>
      <c r="H307" s="839"/>
      <c r="I307" s="1091"/>
      <c r="J307" s="1083"/>
      <c r="K307" s="1083"/>
      <c r="L307" s="932"/>
    </row>
    <row r="308" spans="1:12" s="106" customFormat="1" ht="15.75" hidden="1" customHeight="1" outlineLevel="1">
      <c r="A308" s="932"/>
      <c r="B308" s="1086"/>
      <c r="C308" s="1095"/>
      <c r="D308" s="1091"/>
      <c r="E308" s="1091"/>
      <c r="F308" s="1093"/>
      <c r="G308" s="98"/>
      <c r="H308" s="839"/>
      <c r="I308" s="1091"/>
      <c r="J308" s="1084"/>
      <c r="K308" s="1084"/>
      <c r="L308" s="932"/>
    </row>
    <row r="309" spans="1:12" s="106" customFormat="1" ht="15.75" hidden="1" customHeight="1" outlineLevel="1">
      <c r="A309" s="932"/>
      <c r="B309" s="1087"/>
      <c r="C309" s="1096"/>
      <c r="D309" s="1092"/>
      <c r="E309" s="1092"/>
      <c r="F309" s="1094"/>
      <c r="G309" s="103"/>
      <c r="H309" s="840"/>
      <c r="I309" s="1092"/>
      <c r="J309" s="1085"/>
      <c r="K309" s="1085"/>
      <c r="L309" s="932"/>
    </row>
    <row r="310" spans="1:12" s="106" customFormat="1" ht="15.75" hidden="1" customHeight="1" outlineLevel="1">
      <c r="A310" s="932"/>
      <c r="B310" s="1086">
        <v>100</v>
      </c>
      <c r="C310" s="1095"/>
      <c r="D310" s="1091"/>
      <c r="E310" s="1091" t="s">
        <v>20</v>
      </c>
      <c r="F310" s="1093" t="str">
        <f>VLOOKUP(E310,$N$13:$O$17,2,0)</f>
        <v>-</v>
      </c>
      <c r="G310" s="95"/>
      <c r="H310" s="839"/>
      <c r="I310" s="1091"/>
      <c r="J310" s="1083"/>
      <c r="K310" s="1083"/>
      <c r="L310" s="932"/>
    </row>
    <row r="311" spans="1:12" s="106" customFormat="1" ht="15.75" hidden="1" customHeight="1" outlineLevel="1">
      <c r="A311" s="932"/>
      <c r="B311" s="1086"/>
      <c r="C311" s="1095"/>
      <c r="D311" s="1091"/>
      <c r="E311" s="1091"/>
      <c r="F311" s="1093"/>
      <c r="G311" s="98"/>
      <c r="H311" s="839"/>
      <c r="I311" s="1091"/>
      <c r="J311" s="1084"/>
      <c r="K311" s="1084"/>
      <c r="L311" s="932"/>
    </row>
    <row r="312" spans="1:12" s="106" customFormat="1" ht="15.75" hidden="1" customHeight="1" outlineLevel="1">
      <c r="A312" s="932"/>
      <c r="B312" s="1087"/>
      <c r="C312" s="1096"/>
      <c r="D312" s="1092"/>
      <c r="E312" s="1092"/>
      <c r="F312" s="1094"/>
      <c r="G312" s="103"/>
      <c r="H312" s="840"/>
      <c r="I312" s="1092"/>
      <c r="J312" s="1085"/>
      <c r="K312" s="1085"/>
      <c r="L312" s="932"/>
    </row>
    <row r="313" spans="1:12" s="106" customFormat="1" ht="15.75" hidden="1" customHeight="1" outlineLevel="1">
      <c r="A313" s="932"/>
      <c r="B313" s="1086">
        <v>101</v>
      </c>
      <c r="C313" s="1095"/>
      <c r="D313" s="1091"/>
      <c r="E313" s="1091" t="s">
        <v>20</v>
      </c>
      <c r="F313" s="1093" t="str">
        <f>VLOOKUP(E313,$N$13:$O$17,2,0)</f>
        <v>-</v>
      </c>
      <c r="G313" s="95"/>
      <c r="H313" s="839"/>
      <c r="I313" s="1091"/>
      <c r="J313" s="1083"/>
      <c r="K313" s="1083"/>
      <c r="L313" s="932"/>
    </row>
    <row r="314" spans="1:12" s="106" customFormat="1" ht="15.75" hidden="1" customHeight="1" outlineLevel="1">
      <c r="A314" s="932"/>
      <c r="B314" s="1086"/>
      <c r="C314" s="1095"/>
      <c r="D314" s="1091"/>
      <c r="E314" s="1091"/>
      <c r="F314" s="1093"/>
      <c r="G314" s="98"/>
      <c r="H314" s="839"/>
      <c r="I314" s="1091"/>
      <c r="J314" s="1084"/>
      <c r="K314" s="1084"/>
      <c r="L314" s="932"/>
    </row>
    <row r="315" spans="1:12" s="106" customFormat="1" ht="15.75" hidden="1" customHeight="1" outlineLevel="1">
      <c r="A315" s="932"/>
      <c r="B315" s="1087"/>
      <c r="C315" s="1096"/>
      <c r="D315" s="1092"/>
      <c r="E315" s="1092"/>
      <c r="F315" s="1094"/>
      <c r="G315" s="103"/>
      <c r="H315" s="840"/>
      <c r="I315" s="1092"/>
      <c r="J315" s="1085"/>
      <c r="K315" s="1085"/>
      <c r="L315" s="932"/>
    </row>
    <row r="316" spans="1:12" s="106" customFormat="1" ht="15.75" hidden="1" customHeight="1" outlineLevel="1">
      <c r="A316" s="932"/>
      <c r="B316" s="1086">
        <v>102</v>
      </c>
      <c r="C316" s="1095"/>
      <c r="D316" s="1091"/>
      <c r="E316" s="1091" t="s">
        <v>20</v>
      </c>
      <c r="F316" s="1093" t="str">
        <f>VLOOKUP(E316,$N$13:$O$17,2,0)</f>
        <v>-</v>
      </c>
      <c r="G316" s="95"/>
      <c r="H316" s="839"/>
      <c r="I316" s="1091"/>
      <c r="J316" s="1083"/>
      <c r="K316" s="1083"/>
      <c r="L316" s="932"/>
    </row>
    <row r="317" spans="1:12" s="106" customFormat="1" ht="15.75" hidden="1" customHeight="1" outlineLevel="1">
      <c r="A317" s="932"/>
      <c r="B317" s="1086"/>
      <c r="C317" s="1095"/>
      <c r="D317" s="1091"/>
      <c r="E317" s="1091"/>
      <c r="F317" s="1093"/>
      <c r="G317" s="98"/>
      <c r="H317" s="839"/>
      <c r="I317" s="1091"/>
      <c r="J317" s="1084"/>
      <c r="K317" s="1084"/>
      <c r="L317" s="932"/>
    </row>
    <row r="318" spans="1:12" s="106" customFormat="1" ht="15.75" hidden="1" customHeight="1" outlineLevel="1">
      <c r="A318" s="932"/>
      <c r="B318" s="1087"/>
      <c r="C318" s="1096"/>
      <c r="D318" s="1092"/>
      <c r="E318" s="1092"/>
      <c r="F318" s="1094"/>
      <c r="G318" s="103"/>
      <c r="H318" s="840"/>
      <c r="I318" s="1092"/>
      <c r="J318" s="1085"/>
      <c r="K318" s="1085"/>
      <c r="L318" s="932"/>
    </row>
    <row r="319" spans="1:12" s="106" customFormat="1" ht="15.75" hidden="1" customHeight="1" outlineLevel="1">
      <c r="A319" s="932"/>
      <c r="B319" s="1086">
        <v>103</v>
      </c>
      <c r="C319" s="1095"/>
      <c r="D319" s="1091"/>
      <c r="E319" s="1091" t="s">
        <v>20</v>
      </c>
      <c r="F319" s="1093" t="str">
        <f>VLOOKUP(E319,$N$13:$O$17,2,0)</f>
        <v>-</v>
      </c>
      <c r="G319" s="95"/>
      <c r="H319" s="839"/>
      <c r="I319" s="1091"/>
      <c r="J319" s="1083"/>
      <c r="K319" s="1083"/>
      <c r="L319" s="932"/>
    </row>
    <row r="320" spans="1:12" s="106" customFormat="1" ht="15.75" hidden="1" customHeight="1" outlineLevel="1">
      <c r="A320" s="932"/>
      <c r="B320" s="1086"/>
      <c r="C320" s="1095"/>
      <c r="D320" s="1091"/>
      <c r="E320" s="1091"/>
      <c r="F320" s="1093"/>
      <c r="G320" s="98"/>
      <c r="H320" s="839"/>
      <c r="I320" s="1091"/>
      <c r="J320" s="1084"/>
      <c r="K320" s="1084"/>
      <c r="L320" s="932"/>
    </row>
    <row r="321" spans="1:12" s="106" customFormat="1" ht="15.75" hidden="1" customHeight="1" outlineLevel="1">
      <c r="A321" s="932"/>
      <c r="B321" s="1087"/>
      <c r="C321" s="1096"/>
      <c r="D321" s="1092"/>
      <c r="E321" s="1092"/>
      <c r="F321" s="1094"/>
      <c r="G321" s="103"/>
      <c r="H321" s="840"/>
      <c r="I321" s="1092"/>
      <c r="J321" s="1085"/>
      <c r="K321" s="1085"/>
      <c r="L321" s="932"/>
    </row>
    <row r="322" spans="1:12" s="106" customFormat="1" ht="15.75" hidden="1" customHeight="1" outlineLevel="1">
      <c r="A322" s="932"/>
      <c r="B322" s="1086">
        <v>104</v>
      </c>
      <c r="C322" s="1095"/>
      <c r="D322" s="1091"/>
      <c r="E322" s="1091" t="s">
        <v>20</v>
      </c>
      <c r="F322" s="1093" t="str">
        <f>VLOOKUP(E322,$N$13:$O$17,2,0)</f>
        <v>-</v>
      </c>
      <c r="G322" s="95"/>
      <c r="H322" s="839"/>
      <c r="I322" s="1091"/>
      <c r="J322" s="1083"/>
      <c r="K322" s="1083"/>
      <c r="L322" s="932"/>
    </row>
    <row r="323" spans="1:12" s="106" customFormat="1" ht="15.75" hidden="1" customHeight="1" outlineLevel="1">
      <c r="A323" s="932"/>
      <c r="B323" s="1086"/>
      <c r="C323" s="1095"/>
      <c r="D323" s="1091"/>
      <c r="E323" s="1091"/>
      <c r="F323" s="1093"/>
      <c r="G323" s="98"/>
      <c r="H323" s="839"/>
      <c r="I323" s="1091"/>
      <c r="J323" s="1084"/>
      <c r="K323" s="1084"/>
      <c r="L323" s="932"/>
    </row>
    <row r="324" spans="1:12" s="106" customFormat="1" ht="15.75" hidden="1" customHeight="1" outlineLevel="1">
      <c r="A324" s="932"/>
      <c r="B324" s="1087"/>
      <c r="C324" s="1096"/>
      <c r="D324" s="1092"/>
      <c r="E324" s="1092"/>
      <c r="F324" s="1094"/>
      <c r="G324" s="103"/>
      <c r="H324" s="840"/>
      <c r="I324" s="1092"/>
      <c r="J324" s="1085"/>
      <c r="K324" s="1085"/>
      <c r="L324" s="932"/>
    </row>
    <row r="325" spans="1:12" s="106" customFormat="1" ht="15.75" hidden="1" customHeight="1" outlineLevel="1">
      <c r="A325" s="932"/>
      <c r="B325" s="1086">
        <v>105</v>
      </c>
      <c r="C325" s="1095"/>
      <c r="D325" s="1091"/>
      <c r="E325" s="1091" t="s">
        <v>20</v>
      </c>
      <c r="F325" s="1093" t="str">
        <f>VLOOKUP(E325,$N$13:$O$17,2,0)</f>
        <v>-</v>
      </c>
      <c r="G325" s="95"/>
      <c r="H325" s="839"/>
      <c r="I325" s="1091"/>
      <c r="J325" s="1083"/>
      <c r="K325" s="1083"/>
      <c r="L325" s="932"/>
    </row>
    <row r="326" spans="1:12" s="106" customFormat="1" ht="15.75" hidden="1" customHeight="1" outlineLevel="1">
      <c r="A326" s="932"/>
      <c r="B326" s="1086"/>
      <c r="C326" s="1095"/>
      <c r="D326" s="1091"/>
      <c r="E326" s="1091"/>
      <c r="F326" s="1093"/>
      <c r="G326" s="98"/>
      <c r="H326" s="839"/>
      <c r="I326" s="1091"/>
      <c r="J326" s="1084"/>
      <c r="K326" s="1084"/>
      <c r="L326" s="932"/>
    </row>
    <row r="327" spans="1:12" s="106" customFormat="1" ht="15.75" hidden="1" customHeight="1" outlineLevel="1">
      <c r="A327" s="932"/>
      <c r="B327" s="1087"/>
      <c r="C327" s="1096"/>
      <c r="D327" s="1092"/>
      <c r="E327" s="1092"/>
      <c r="F327" s="1094"/>
      <c r="G327" s="103"/>
      <c r="H327" s="840"/>
      <c r="I327" s="1092"/>
      <c r="J327" s="1085"/>
      <c r="K327" s="1085"/>
      <c r="L327" s="932"/>
    </row>
    <row r="328" spans="1:12" s="106" customFormat="1" ht="15.75" hidden="1" customHeight="1" outlineLevel="1">
      <c r="A328" s="932"/>
      <c r="B328" s="1086">
        <v>106</v>
      </c>
      <c r="C328" s="1095"/>
      <c r="D328" s="1091"/>
      <c r="E328" s="1091" t="s">
        <v>20</v>
      </c>
      <c r="F328" s="1093" t="str">
        <f>VLOOKUP(E328,$N$13:$O$17,2,0)</f>
        <v>-</v>
      </c>
      <c r="G328" s="95"/>
      <c r="H328" s="839"/>
      <c r="I328" s="1091"/>
      <c r="J328" s="1083"/>
      <c r="K328" s="1083"/>
      <c r="L328" s="932"/>
    </row>
    <row r="329" spans="1:12" s="106" customFormat="1" ht="15.75" hidden="1" customHeight="1" outlineLevel="1">
      <c r="A329" s="932"/>
      <c r="B329" s="1086"/>
      <c r="C329" s="1095"/>
      <c r="D329" s="1091"/>
      <c r="E329" s="1091"/>
      <c r="F329" s="1093"/>
      <c r="G329" s="98"/>
      <c r="H329" s="839"/>
      <c r="I329" s="1091"/>
      <c r="J329" s="1084"/>
      <c r="K329" s="1084"/>
      <c r="L329" s="932"/>
    </row>
    <row r="330" spans="1:12" s="106" customFormat="1" ht="15.75" hidden="1" customHeight="1" outlineLevel="1">
      <c r="A330" s="932"/>
      <c r="B330" s="1087"/>
      <c r="C330" s="1096"/>
      <c r="D330" s="1092"/>
      <c r="E330" s="1092"/>
      <c r="F330" s="1094"/>
      <c r="G330" s="103"/>
      <c r="H330" s="840"/>
      <c r="I330" s="1092"/>
      <c r="J330" s="1085"/>
      <c r="K330" s="1085"/>
      <c r="L330" s="932"/>
    </row>
    <row r="331" spans="1:12" s="106" customFormat="1" ht="15.75" hidden="1" customHeight="1" outlineLevel="1">
      <c r="A331" s="932"/>
      <c r="B331" s="1086">
        <v>107</v>
      </c>
      <c r="C331" s="1095"/>
      <c r="D331" s="1091"/>
      <c r="E331" s="1091" t="s">
        <v>20</v>
      </c>
      <c r="F331" s="1093" t="str">
        <f>VLOOKUP(E331,$N$13:$O$17,2,0)</f>
        <v>-</v>
      </c>
      <c r="G331" s="95"/>
      <c r="H331" s="839"/>
      <c r="I331" s="1091"/>
      <c r="J331" s="1083"/>
      <c r="K331" s="1083"/>
      <c r="L331" s="932"/>
    </row>
    <row r="332" spans="1:12" s="106" customFormat="1" ht="15.75" hidden="1" customHeight="1" outlineLevel="1">
      <c r="A332" s="932"/>
      <c r="B332" s="1086"/>
      <c r="C332" s="1095"/>
      <c r="D332" s="1091"/>
      <c r="E332" s="1091"/>
      <c r="F332" s="1093"/>
      <c r="G332" s="98"/>
      <c r="H332" s="839"/>
      <c r="I332" s="1091"/>
      <c r="J332" s="1084"/>
      <c r="K332" s="1084"/>
      <c r="L332" s="932"/>
    </row>
    <row r="333" spans="1:12" s="106" customFormat="1" ht="15.75" hidden="1" customHeight="1" outlineLevel="1">
      <c r="A333" s="932"/>
      <c r="B333" s="1087"/>
      <c r="C333" s="1096"/>
      <c r="D333" s="1092"/>
      <c r="E333" s="1092"/>
      <c r="F333" s="1094"/>
      <c r="G333" s="103"/>
      <c r="H333" s="840"/>
      <c r="I333" s="1092"/>
      <c r="J333" s="1085"/>
      <c r="K333" s="1085"/>
      <c r="L333" s="932"/>
    </row>
    <row r="334" spans="1:12" s="106" customFormat="1" ht="15.75" hidden="1" customHeight="1" outlineLevel="1">
      <c r="A334" s="932"/>
      <c r="B334" s="1086">
        <v>108</v>
      </c>
      <c r="C334" s="1095"/>
      <c r="D334" s="1091"/>
      <c r="E334" s="1091" t="s">
        <v>20</v>
      </c>
      <c r="F334" s="1093" t="str">
        <f>VLOOKUP(E334,$N$13:$O$17,2,0)</f>
        <v>-</v>
      </c>
      <c r="G334" s="95"/>
      <c r="H334" s="839"/>
      <c r="I334" s="1091"/>
      <c r="J334" s="1083"/>
      <c r="K334" s="1083"/>
      <c r="L334" s="932"/>
    </row>
    <row r="335" spans="1:12" s="106" customFormat="1" ht="15.75" hidden="1" customHeight="1" outlineLevel="1">
      <c r="A335" s="932"/>
      <c r="B335" s="1086"/>
      <c r="C335" s="1095"/>
      <c r="D335" s="1091"/>
      <c r="E335" s="1091"/>
      <c r="F335" s="1093"/>
      <c r="G335" s="98"/>
      <c r="H335" s="839"/>
      <c r="I335" s="1091"/>
      <c r="J335" s="1084"/>
      <c r="K335" s="1084"/>
      <c r="L335" s="932"/>
    </row>
    <row r="336" spans="1:12" s="106" customFormat="1" ht="15.75" hidden="1" customHeight="1" outlineLevel="1">
      <c r="A336" s="932"/>
      <c r="B336" s="1087"/>
      <c r="C336" s="1096"/>
      <c r="D336" s="1092"/>
      <c r="E336" s="1092"/>
      <c r="F336" s="1094"/>
      <c r="G336" s="103"/>
      <c r="H336" s="840"/>
      <c r="I336" s="1092"/>
      <c r="J336" s="1085"/>
      <c r="K336" s="1085"/>
      <c r="L336" s="932"/>
    </row>
    <row r="337" spans="1:12" s="106" customFormat="1" ht="15.75" hidden="1" customHeight="1" outlineLevel="1">
      <c r="A337" s="932"/>
      <c r="B337" s="1086">
        <v>109</v>
      </c>
      <c r="C337" s="1095"/>
      <c r="D337" s="1091"/>
      <c r="E337" s="1091" t="s">
        <v>20</v>
      </c>
      <c r="F337" s="1093" t="str">
        <f>VLOOKUP(E337,$N$13:$O$17,2,0)</f>
        <v>-</v>
      </c>
      <c r="G337" s="95"/>
      <c r="H337" s="839"/>
      <c r="I337" s="1091"/>
      <c r="J337" s="1083"/>
      <c r="K337" s="1083"/>
      <c r="L337" s="932"/>
    </row>
    <row r="338" spans="1:12" s="106" customFormat="1" ht="15.75" hidden="1" customHeight="1" outlineLevel="1">
      <c r="A338" s="932"/>
      <c r="B338" s="1086"/>
      <c r="C338" s="1095"/>
      <c r="D338" s="1091"/>
      <c r="E338" s="1091"/>
      <c r="F338" s="1093"/>
      <c r="G338" s="98"/>
      <c r="H338" s="839"/>
      <c r="I338" s="1091"/>
      <c r="J338" s="1084"/>
      <c r="K338" s="1084"/>
      <c r="L338" s="932"/>
    </row>
    <row r="339" spans="1:12" s="106" customFormat="1" ht="15.75" hidden="1" customHeight="1" outlineLevel="1">
      <c r="A339" s="932"/>
      <c r="B339" s="1087"/>
      <c r="C339" s="1096"/>
      <c r="D339" s="1092"/>
      <c r="E339" s="1092"/>
      <c r="F339" s="1094"/>
      <c r="G339" s="103"/>
      <c r="H339" s="840"/>
      <c r="I339" s="1092"/>
      <c r="J339" s="1085"/>
      <c r="K339" s="1085"/>
      <c r="L339" s="932"/>
    </row>
    <row r="340" spans="1:12" s="106" customFormat="1" ht="15.75" hidden="1" customHeight="1" outlineLevel="1">
      <c r="A340" s="932"/>
      <c r="B340" s="1086">
        <v>110</v>
      </c>
      <c r="C340" s="1095"/>
      <c r="D340" s="1091"/>
      <c r="E340" s="1091" t="s">
        <v>20</v>
      </c>
      <c r="F340" s="1093" t="str">
        <f>VLOOKUP(E340,$N$13:$O$17,2,0)</f>
        <v>-</v>
      </c>
      <c r="G340" s="95"/>
      <c r="H340" s="839"/>
      <c r="I340" s="1091"/>
      <c r="J340" s="1083"/>
      <c r="K340" s="1083"/>
      <c r="L340" s="932"/>
    </row>
    <row r="341" spans="1:12" s="106" customFormat="1" ht="15.75" hidden="1" customHeight="1" outlineLevel="1">
      <c r="A341" s="932"/>
      <c r="B341" s="1086"/>
      <c r="C341" s="1095"/>
      <c r="D341" s="1091"/>
      <c r="E341" s="1091"/>
      <c r="F341" s="1093"/>
      <c r="G341" s="98"/>
      <c r="H341" s="839"/>
      <c r="I341" s="1091"/>
      <c r="J341" s="1084"/>
      <c r="K341" s="1084"/>
      <c r="L341" s="932"/>
    </row>
    <row r="342" spans="1:12" s="106" customFormat="1" ht="15.75" hidden="1" customHeight="1" outlineLevel="1">
      <c r="A342" s="932"/>
      <c r="B342" s="1087"/>
      <c r="C342" s="1096"/>
      <c r="D342" s="1092"/>
      <c r="E342" s="1092"/>
      <c r="F342" s="1094"/>
      <c r="G342" s="103"/>
      <c r="H342" s="840"/>
      <c r="I342" s="1092"/>
      <c r="J342" s="1085"/>
      <c r="K342" s="1085"/>
      <c r="L342" s="932"/>
    </row>
    <row r="343" spans="1:12" s="106" customFormat="1" ht="15.75" hidden="1" customHeight="1" outlineLevel="1">
      <c r="A343" s="932"/>
      <c r="B343" s="1086">
        <v>111</v>
      </c>
      <c r="C343" s="1095"/>
      <c r="D343" s="1091"/>
      <c r="E343" s="1091" t="s">
        <v>20</v>
      </c>
      <c r="F343" s="1093" t="str">
        <f>VLOOKUP(E343,$N$13:$O$17,2,0)</f>
        <v>-</v>
      </c>
      <c r="G343" s="95"/>
      <c r="H343" s="839"/>
      <c r="I343" s="1091"/>
      <c r="J343" s="1083"/>
      <c r="K343" s="1083"/>
      <c r="L343" s="932"/>
    </row>
    <row r="344" spans="1:12" s="106" customFormat="1" ht="15.75" hidden="1" customHeight="1" outlineLevel="1">
      <c r="A344" s="932"/>
      <c r="B344" s="1086"/>
      <c r="C344" s="1095"/>
      <c r="D344" s="1091"/>
      <c r="E344" s="1091"/>
      <c r="F344" s="1093"/>
      <c r="G344" s="98"/>
      <c r="H344" s="839"/>
      <c r="I344" s="1091"/>
      <c r="J344" s="1084"/>
      <c r="K344" s="1084"/>
      <c r="L344" s="932"/>
    </row>
    <row r="345" spans="1:12" s="106" customFormat="1" ht="15.75" hidden="1" customHeight="1" outlineLevel="1">
      <c r="A345" s="932"/>
      <c r="B345" s="1087"/>
      <c r="C345" s="1096"/>
      <c r="D345" s="1092"/>
      <c r="E345" s="1092"/>
      <c r="F345" s="1094"/>
      <c r="G345" s="103"/>
      <c r="H345" s="840"/>
      <c r="I345" s="1092"/>
      <c r="J345" s="1085"/>
      <c r="K345" s="1085"/>
      <c r="L345" s="932"/>
    </row>
    <row r="346" spans="1:12" s="106" customFormat="1" ht="15.75" hidden="1" customHeight="1" outlineLevel="1">
      <c r="A346" s="932"/>
      <c r="B346" s="1086">
        <v>112</v>
      </c>
      <c r="C346" s="1095"/>
      <c r="D346" s="1091"/>
      <c r="E346" s="1091" t="s">
        <v>20</v>
      </c>
      <c r="F346" s="1093" t="str">
        <f>VLOOKUP(E346,$N$13:$O$17,2,0)</f>
        <v>-</v>
      </c>
      <c r="G346" s="95"/>
      <c r="H346" s="839"/>
      <c r="I346" s="1091"/>
      <c r="J346" s="1083"/>
      <c r="K346" s="1083"/>
      <c r="L346" s="932"/>
    </row>
    <row r="347" spans="1:12" s="106" customFormat="1" ht="15.75" hidden="1" customHeight="1" outlineLevel="1">
      <c r="A347" s="932"/>
      <c r="B347" s="1086"/>
      <c r="C347" s="1095"/>
      <c r="D347" s="1091"/>
      <c r="E347" s="1091"/>
      <c r="F347" s="1093"/>
      <c r="G347" s="98"/>
      <c r="H347" s="839"/>
      <c r="I347" s="1091"/>
      <c r="J347" s="1084"/>
      <c r="K347" s="1084"/>
      <c r="L347" s="932"/>
    </row>
    <row r="348" spans="1:12" s="106" customFormat="1" ht="15.75" hidden="1" customHeight="1" outlineLevel="1">
      <c r="A348" s="932"/>
      <c r="B348" s="1087"/>
      <c r="C348" s="1096"/>
      <c r="D348" s="1092"/>
      <c r="E348" s="1092"/>
      <c r="F348" s="1094"/>
      <c r="G348" s="103"/>
      <c r="H348" s="840"/>
      <c r="I348" s="1092"/>
      <c r="J348" s="1085"/>
      <c r="K348" s="1085"/>
      <c r="L348" s="932"/>
    </row>
    <row r="349" spans="1:12" s="106" customFormat="1" ht="15.75" hidden="1" customHeight="1" outlineLevel="1">
      <c r="A349" s="932"/>
      <c r="B349" s="1086">
        <v>113</v>
      </c>
      <c r="C349" s="1095"/>
      <c r="D349" s="1091"/>
      <c r="E349" s="1091" t="s">
        <v>20</v>
      </c>
      <c r="F349" s="1093" t="str">
        <f>VLOOKUP(E349,$N$13:$O$17,2,0)</f>
        <v>-</v>
      </c>
      <c r="G349" s="95"/>
      <c r="H349" s="839"/>
      <c r="I349" s="1091"/>
      <c r="J349" s="1083"/>
      <c r="K349" s="1083"/>
      <c r="L349" s="932"/>
    </row>
    <row r="350" spans="1:12" s="106" customFormat="1" ht="15.75" hidden="1" customHeight="1" outlineLevel="1">
      <c r="A350" s="932"/>
      <c r="B350" s="1086"/>
      <c r="C350" s="1095"/>
      <c r="D350" s="1091"/>
      <c r="E350" s="1091"/>
      <c r="F350" s="1093"/>
      <c r="G350" s="98"/>
      <c r="H350" s="839"/>
      <c r="I350" s="1091"/>
      <c r="J350" s="1084"/>
      <c r="K350" s="1084"/>
      <c r="L350" s="932"/>
    </row>
    <row r="351" spans="1:12" s="106" customFormat="1" ht="15.75" hidden="1" customHeight="1" outlineLevel="1">
      <c r="A351" s="932"/>
      <c r="B351" s="1087"/>
      <c r="C351" s="1096"/>
      <c r="D351" s="1092"/>
      <c r="E351" s="1092"/>
      <c r="F351" s="1094"/>
      <c r="G351" s="103"/>
      <c r="H351" s="840"/>
      <c r="I351" s="1092"/>
      <c r="J351" s="1085"/>
      <c r="K351" s="1085"/>
      <c r="L351" s="932"/>
    </row>
    <row r="352" spans="1:12" s="106" customFormat="1" ht="15.75" hidden="1" customHeight="1" outlineLevel="1">
      <c r="A352" s="932"/>
      <c r="B352" s="1086">
        <v>114</v>
      </c>
      <c r="C352" s="1095"/>
      <c r="D352" s="1091"/>
      <c r="E352" s="1091" t="s">
        <v>20</v>
      </c>
      <c r="F352" s="1093" t="str">
        <f>VLOOKUP(E352,$N$13:$O$17,2,0)</f>
        <v>-</v>
      </c>
      <c r="G352" s="95"/>
      <c r="H352" s="839"/>
      <c r="I352" s="1091"/>
      <c r="J352" s="1083"/>
      <c r="K352" s="1083"/>
      <c r="L352" s="932"/>
    </row>
    <row r="353" spans="1:12" s="106" customFormat="1" ht="15.75" hidden="1" customHeight="1" outlineLevel="1">
      <c r="A353" s="932"/>
      <c r="B353" s="1086"/>
      <c r="C353" s="1095"/>
      <c r="D353" s="1091"/>
      <c r="E353" s="1091"/>
      <c r="F353" s="1093"/>
      <c r="G353" s="98"/>
      <c r="H353" s="839"/>
      <c r="I353" s="1091"/>
      <c r="J353" s="1084"/>
      <c r="K353" s="1084"/>
      <c r="L353" s="932"/>
    </row>
    <row r="354" spans="1:12" s="106" customFormat="1" ht="15.75" hidden="1" customHeight="1" outlineLevel="1">
      <c r="A354" s="932"/>
      <c r="B354" s="1087"/>
      <c r="C354" s="1096"/>
      <c r="D354" s="1092"/>
      <c r="E354" s="1092"/>
      <c r="F354" s="1094"/>
      <c r="G354" s="103"/>
      <c r="H354" s="840"/>
      <c r="I354" s="1092"/>
      <c r="J354" s="1085"/>
      <c r="K354" s="1085"/>
      <c r="L354" s="932"/>
    </row>
    <row r="355" spans="1:12" s="106" customFormat="1" ht="15.75" hidden="1" customHeight="1" outlineLevel="1">
      <c r="A355" s="932"/>
      <c r="B355" s="1086">
        <v>115</v>
      </c>
      <c r="C355" s="1095"/>
      <c r="D355" s="1091"/>
      <c r="E355" s="1091" t="s">
        <v>20</v>
      </c>
      <c r="F355" s="1093" t="str">
        <f>VLOOKUP(E355,$N$13:$O$17,2,0)</f>
        <v>-</v>
      </c>
      <c r="G355" s="95"/>
      <c r="H355" s="839"/>
      <c r="I355" s="1091"/>
      <c r="J355" s="1083"/>
      <c r="K355" s="1083"/>
      <c r="L355" s="932"/>
    </row>
    <row r="356" spans="1:12" s="106" customFormat="1" ht="15.75" hidden="1" customHeight="1" outlineLevel="1">
      <c r="A356" s="932"/>
      <c r="B356" s="1086"/>
      <c r="C356" s="1095"/>
      <c r="D356" s="1091"/>
      <c r="E356" s="1091"/>
      <c r="F356" s="1093"/>
      <c r="G356" s="98"/>
      <c r="H356" s="839"/>
      <c r="I356" s="1091"/>
      <c r="J356" s="1084"/>
      <c r="K356" s="1084"/>
      <c r="L356" s="932"/>
    </row>
    <row r="357" spans="1:12" s="106" customFormat="1" ht="15.75" hidden="1" customHeight="1" outlineLevel="1">
      <c r="A357" s="932"/>
      <c r="B357" s="1087"/>
      <c r="C357" s="1096"/>
      <c r="D357" s="1092"/>
      <c r="E357" s="1092"/>
      <c r="F357" s="1094"/>
      <c r="G357" s="103"/>
      <c r="H357" s="840"/>
      <c r="I357" s="1092"/>
      <c r="J357" s="1085"/>
      <c r="K357" s="1085"/>
      <c r="L357" s="932"/>
    </row>
    <row r="358" spans="1:12" s="106" customFormat="1" ht="15.75" hidden="1" customHeight="1" outlineLevel="1">
      <c r="A358" s="932"/>
      <c r="B358" s="1086">
        <v>116</v>
      </c>
      <c r="C358" s="1095"/>
      <c r="D358" s="1091"/>
      <c r="E358" s="1091" t="s">
        <v>20</v>
      </c>
      <c r="F358" s="1093" t="str">
        <f>VLOOKUP(E358,$N$13:$O$17,2,0)</f>
        <v>-</v>
      </c>
      <c r="G358" s="95"/>
      <c r="H358" s="839"/>
      <c r="I358" s="1091"/>
      <c r="J358" s="1083"/>
      <c r="K358" s="1083"/>
      <c r="L358" s="932"/>
    </row>
    <row r="359" spans="1:12" s="106" customFormat="1" ht="15.75" hidden="1" customHeight="1" outlineLevel="1">
      <c r="A359" s="932"/>
      <c r="B359" s="1086"/>
      <c r="C359" s="1095"/>
      <c r="D359" s="1091"/>
      <c r="E359" s="1091"/>
      <c r="F359" s="1093"/>
      <c r="G359" s="98"/>
      <c r="H359" s="839"/>
      <c r="I359" s="1091"/>
      <c r="J359" s="1084"/>
      <c r="K359" s="1084"/>
      <c r="L359" s="932"/>
    </row>
    <row r="360" spans="1:12" s="106" customFormat="1" ht="15.75" hidden="1" customHeight="1" outlineLevel="1">
      <c r="A360" s="932"/>
      <c r="B360" s="1087"/>
      <c r="C360" s="1096"/>
      <c r="D360" s="1092"/>
      <c r="E360" s="1092"/>
      <c r="F360" s="1094"/>
      <c r="G360" s="103"/>
      <c r="H360" s="840"/>
      <c r="I360" s="1092"/>
      <c r="J360" s="1085"/>
      <c r="K360" s="1085"/>
      <c r="L360" s="932"/>
    </row>
    <row r="361" spans="1:12" s="106" customFormat="1" ht="15.75" hidden="1" customHeight="1" outlineLevel="1">
      <c r="A361" s="932"/>
      <c r="B361" s="1086">
        <v>117</v>
      </c>
      <c r="C361" s="1095"/>
      <c r="D361" s="1091"/>
      <c r="E361" s="1091" t="s">
        <v>20</v>
      </c>
      <c r="F361" s="1093" t="str">
        <f>VLOOKUP(E361,$N$13:$O$17,2,0)</f>
        <v>-</v>
      </c>
      <c r="G361" s="95"/>
      <c r="H361" s="839"/>
      <c r="I361" s="1091"/>
      <c r="J361" s="1083"/>
      <c r="K361" s="1083"/>
      <c r="L361" s="932"/>
    </row>
    <row r="362" spans="1:12" s="106" customFormat="1" ht="15.75" hidden="1" customHeight="1" outlineLevel="1">
      <c r="A362" s="932"/>
      <c r="B362" s="1086"/>
      <c r="C362" s="1095"/>
      <c r="D362" s="1091"/>
      <c r="E362" s="1091"/>
      <c r="F362" s="1093"/>
      <c r="G362" s="98"/>
      <c r="H362" s="839"/>
      <c r="I362" s="1091"/>
      <c r="J362" s="1084"/>
      <c r="K362" s="1084"/>
      <c r="L362" s="932"/>
    </row>
    <row r="363" spans="1:12" s="106" customFormat="1" ht="15.75" hidden="1" customHeight="1" outlineLevel="1">
      <c r="A363" s="932"/>
      <c r="B363" s="1087"/>
      <c r="C363" s="1096"/>
      <c r="D363" s="1092"/>
      <c r="E363" s="1092"/>
      <c r="F363" s="1094"/>
      <c r="G363" s="103"/>
      <c r="H363" s="840"/>
      <c r="I363" s="1092"/>
      <c r="J363" s="1085"/>
      <c r="K363" s="1085"/>
      <c r="L363" s="932"/>
    </row>
    <row r="364" spans="1:12" s="106" customFormat="1" ht="15.75" hidden="1" customHeight="1" outlineLevel="1">
      <c r="A364" s="932"/>
      <c r="B364" s="1086">
        <v>118</v>
      </c>
      <c r="C364" s="1095"/>
      <c r="D364" s="1091"/>
      <c r="E364" s="1091" t="s">
        <v>20</v>
      </c>
      <c r="F364" s="1093" t="str">
        <f>VLOOKUP(E364,$N$13:$O$17,2,0)</f>
        <v>-</v>
      </c>
      <c r="G364" s="95"/>
      <c r="H364" s="839"/>
      <c r="I364" s="1091"/>
      <c r="J364" s="1083"/>
      <c r="K364" s="1083"/>
      <c r="L364" s="932"/>
    </row>
    <row r="365" spans="1:12" s="106" customFormat="1" ht="15.75" hidden="1" customHeight="1" outlineLevel="1">
      <c r="A365" s="932"/>
      <c r="B365" s="1086"/>
      <c r="C365" s="1095"/>
      <c r="D365" s="1091"/>
      <c r="E365" s="1091"/>
      <c r="F365" s="1093"/>
      <c r="G365" s="98"/>
      <c r="H365" s="839"/>
      <c r="I365" s="1091"/>
      <c r="J365" s="1084"/>
      <c r="K365" s="1084"/>
      <c r="L365" s="932"/>
    </row>
    <row r="366" spans="1:12" s="106" customFormat="1" ht="15.75" hidden="1" customHeight="1" outlineLevel="1">
      <c r="A366" s="932"/>
      <c r="B366" s="1087"/>
      <c r="C366" s="1096"/>
      <c r="D366" s="1092"/>
      <c r="E366" s="1092"/>
      <c r="F366" s="1094"/>
      <c r="G366" s="103"/>
      <c r="H366" s="840"/>
      <c r="I366" s="1092"/>
      <c r="J366" s="1085"/>
      <c r="K366" s="1085"/>
      <c r="L366" s="932"/>
    </row>
    <row r="367" spans="1:12" s="106" customFormat="1" ht="15.75" hidden="1" customHeight="1" outlineLevel="1">
      <c r="A367" s="932"/>
      <c r="B367" s="1086">
        <v>119</v>
      </c>
      <c r="C367" s="1095"/>
      <c r="D367" s="1091"/>
      <c r="E367" s="1091" t="s">
        <v>20</v>
      </c>
      <c r="F367" s="1093" t="str">
        <f>VLOOKUP(E367,$N$13:$O$17,2,0)</f>
        <v>-</v>
      </c>
      <c r="G367" s="95"/>
      <c r="H367" s="839"/>
      <c r="I367" s="1091"/>
      <c r="J367" s="1083"/>
      <c r="K367" s="1083"/>
      <c r="L367" s="932"/>
    </row>
    <row r="368" spans="1:12" s="106" customFormat="1" ht="15.75" hidden="1" customHeight="1" outlineLevel="1">
      <c r="A368" s="932"/>
      <c r="B368" s="1086"/>
      <c r="C368" s="1095"/>
      <c r="D368" s="1091"/>
      <c r="E368" s="1091"/>
      <c r="F368" s="1093"/>
      <c r="G368" s="98"/>
      <c r="H368" s="839"/>
      <c r="I368" s="1091"/>
      <c r="J368" s="1084"/>
      <c r="K368" s="1084"/>
      <c r="L368" s="932"/>
    </row>
    <row r="369" spans="1:12" s="106" customFormat="1" ht="15.75" hidden="1" customHeight="1" outlineLevel="1">
      <c r="A369" s="932"/>
      <c r="B369" s="1087"/>
      <c r="C369" s="1096"/>
      <c r="D369" s="1092"/>
      <c r="E369" s="1092"/>
      <c r="F369" s="1094"/>
      <c r="G369" s="103"/>
      <c r="H369" s="840"/>
      <c r="I369" s="1092"/>
      <c r="J369" s="1085"/>
      <c r="K369" s="1085"/>
      <c r="L369" s="932"/>
    </row>
    <row r="370" spans="1:12" s="106" customFormat="1" ht="15.75" hidden="1" customHeight="1" outlineLevel="1">
      <c r="A370" s="932"/>
      <c r="B370" s="1086">
        <v>120</v>
      </c>
      <c r="C370" s="1095"/>
      <c r="D370" s="1091"/>
      <c r="E370" s="1091" t="s">
        <v>20</v>
      </c>
      <c r="F370" s="1093" t="str">
        <f>VLOOKUP(E370,$N$13:$O$17,2,0)</f>
        <v>-</v>
      </c>
      <c r="G370" s="95"/>
      <c r="H370" s="839"/>
      <c r="I370" s="1091"/>
      <c r="J370" s="1083"/>
      <c r="K370" s="1083"/>
      <c r="L370" s="932"/>
    </row>
    <row r="371" spans="1:12" s="106" customFormat="1" ht="15.75" hidden="1" customHeight="1" outlineLevel="1">
      <c r="A371" s="932"/>
      <c r="B371" s="1086"/>
      <c r="C371" s="1095"/>
      <c r="D371" s="1091"/>
      <c r="E371" s="1091"/>
      <c r="F371" s="1093"/>
      <c r="G371" s="98"/>
      <c r="H371" s="839"/>
      <c r="I371" s="1091"/>
      <c r="J371" s="1084"/>
      <c r="K371" s="1084"/>
      <c r="L371" s="932"/>
    </row>
    <row r="372" spans="1:12" s="106" customFormat="1" ht="15.75" hidden="1" customHeight="1" outlineLevel="1">
      <c r="A372" s="932"/>
      <c r="B372" s="1087"/>
      <c r="C372" s="1096"/>
      <c r="D372" s="1092"/>
      <c r="E372" s="1092"/>
      <c r="F372" s="1094"/>
      <c r="G372" s="103"/>
      <c r="H372" s="840"/>
      <c r="I372" s="1092"/>
      <c r="J372" s="1085"/>
      <c r="K372" s="1085"/>
      <c r="L372" s="932"/>
    </row>
    <row r="373" spans="1:12" s="106" customFormat="1" ht="15.75" hidden="1" customHeight="1" outlineLevel="1">
      <c r="A373" s="932"/>
      <c r="B373" s="1086">
        <v>121</v>
      </c>
      <c r="C373" s="1095"/>
      <c r="D373" s="1091"/>
      <c r="E373" s="1091" t="s">
        <v>20</v>
      </c>
      <c r="F373" s="1093" t="str">
        <f>VLOOKUP(E373,$N$13:$O$17,2,0)</f>
        <v>-</v>
      </c>
      <c r="G373" s="95"/>
      <c r="H373" s="839"/>
      <c r="I373" s="1091"/>
      <c r="J373" s="1083"/>
      <c r="K373" s="1083"/>
      <c r="L373" s="932"/>
    </row>
    <row r="374" spans="1:12" s="106" customFormat="1" ht="15.75" hidden="1" customHeight="1" outlineLevel="1">
      <c r="A374" s="932"/>
      <c r="B374" s="1086"/>
      <c r="C374" s="1095"/>
      <c r="D374" s="1091"/>
      <c r="E374" s="1091"/>
      <c r="F374" s="1093"/>
      <c r="G374" s="98"/>
      <c r="H374" s="839"/>
      <c r="I374" s="1091"/>
      <c r="J374" s="1084"/>
      <c r="K374" s="1084"/>
      <c r="L374" s="932"/>
    </row>
    <row r="375" spans="1:12" s="106" customFormat="1" ht="15.75" hidden="1" customHeight="1" outlineLevel="1">
      <c r="A375" s="932"/>
      <c r="B375" s="1087"/>
      <c r="C375" s="1096"/>
      <c r="D375" s="1092"/>
      <c r="E375" s="1092"/>
      <c r="F375" s="1094"/>
      <c r="G375" s="103"/>
      <c r="H375" s="840"/>
      <c r="I375" s="1092"/>
      <c r="J375" s="1085"/>
      <c r="K375" s="1085"/>
      <c r="L375" s="932"/>
    </row>
    <row r="376" spans="1:12" s="106" customFormat="1" ht="15.75" hidden="1" customHeight="1" outlineLevel="1">
      <c r="A376" s="932"/>
      <c r="B376" s="1086">
        <v>122</v>
      </c>
      <c r="C376" s="1095"/>
      <c r="D376" s="1091"/>
      <c r="E376" s="1091" t="s">
        <v>20</v>
      </c>
      <c r="F376" s="1093" t="str">
        <f>VLOOKUP(E376,$N$13:$O$17,2,0)</f>
        <v>-</v>
      </c>
      <c r="G376" s="95"/>
      <c r="H376" s="839"/>
      <c r="I376" s="1091"/>
      <c r="J376" s="1083"/>
      <c r="K376" s="1083"/>
      <c r="L376" s="932"/>
    </row>
    <row r="377" spans="1:12" s="106" customFormat="1" ht="15.75" hidden="1" customHeight="1" outlineLevel="1">
      <c r="A377" s="932"/>
      <c r="B377" s="1086"/>
      <c r="C377" s="1095"/>
      <c r="D377" s="1091"/>
      <c r="E377" s="1091"/>
      <c r="F377" s="1093"/>
      <c r="G377" s="98"/>
      <c r="H377" s="839"/>
      <c r="I377" s="1091"/>
      <c r="J377" s="1084"/>
      <c r="K377" s="1084"/>
      <c r="L377" s="932"/>
    </row>
    <row r="378" spans="1:12" s="106" customFormat="1" ht="15.75" hidden="1" customHeight="1" outlineLevel="1">
      <c r="A378" s="932"/>
      <c r="B378" s="1087"/>
      <c r="C378" s="1096"/>
      <c r="D378" s="1092"/>
      <c r="E378" s="1092"/>
      <c r="F378" s="1094"/>
      <c r="G378" s="103"/>
      <c r="H378" s="840"/>
      <c r="I378" s="1092"/>
      <c r="J378" s="1085"/>
      <c r="K378" s="1085"/>
      <c r="L378" s="932"/>
    </row>
    <row r="379" spans="1:12" s="106" customFormat="1" ht="15.75" hidden="1" customHeight="1" outlineLevel="1">
      <c r="A379" s="932"/>
      <c r="B379" s="1086">
        <v>123</v>
      </c>
      <c r="C379" s="1095"/>
      <c r="D379" s="1091"/>
      <c r="E379" s="1091" t="s">
        <v>20</v>
      </c>
      <c r="F379" s="1093" t="str">
        <f>VLOOKUP(E379,$N$13:$O$17,2,0)</f>
        <v>-</v>
      </c>
      <c r="G379" s="95"/>
      <c r="H379" s="839"/>
      <c r="I379" s="1091"/>
      <c r="J379" s="1083"/>
      <c r="K379" s="1083"/>
      <c r="L379" s="932"/>
    </row>
    <row r="380" spans="1:12" s="106" customFormat="1" ht="15.75" hidden="1" customHeight="1" outlineLevel="1">
      <c r="A380" s="932"/>
      <c r="B380" s="1086"/>
      <c r="C380" s="1095"/>
      <c r="D380" s="1091"/>
      <c r="E380" s="1091"/>
      <c r="F380" s="1093"/>
      <c r="G380" s="98"/>
      <c r="H380" s="839"/>
      <c r="I380" s="1091"/>
      <c r="J380" s="1084"/>
      <c r="K380" s="1084"/>
      <c r="L380" s="932"/>
    </row>
    <row r="381" spans="1:12" s="106" customFormat="1" ht="15.75" hidden="1" customHeight="1" outlineLevel="1">
      <c r="A381" s="932"/>
      <c r="B381" s="1087"/>
      <c r="C381" s="1096"/>
      <c r="D381" s="1092"/>
      <c r="E381" s="1092"/>
      <c r="F381" s="1094"/>
      <c r="G381" s="103"/>
      <c r="H381" s="840"/>
      <c r="I381" s="1092"/>
      <c r="J381" s="1085"/>
      <c r="K381" s="1085"/>
      <c r="L381" s="932"/>
    </row>
    <row r="382" spans="1:12" s="106" customFormat="1" ht="15.75" hidden="1" customHeight="1" outlineLevel="1">
      <c r="A382" s="932"/>
      <c r="B382" s="1086">
        <v>124</v>
      </c>
      <c r="C382" s="1095"/>
      <c r="D382" s="1091"/>
      <c r="E382" s="1091" t="s">
        <v>20</v>
      </c>
      <c r="F382" s="1093" t="str">
        <f>VLOOKUP(E382,$N$13:$O$17,2,0)</f>
        <v>-</v>
      </c>
      <c r="G382" s="95"/>
      <c r="H382" s="839"/>
      <c r="I382" s="1091"/>
      <c r="J382" s="1083"/>
      <c r="K382" s="1083"/>
      <c r="L382" s="932"/>
    </row>
    <row r="383" spans="1:12" s="106" customFormat="1" ht="15.75" hidden="1" customHeight="1" outlineLevel="1">
      <c r="A383" s="932"/>
      <c r="B383" s="1086"/>
      <c r="C383" s="1095"/>
      <c r="D383" s="1091"/>
      <c r="E383" s="1091"/>
      <c r="F383" s="1093"/>
      <c r="G383" s="98"/>
      <c r="H383" s="839"/>
      <c r="I383" s="1091"/>
      <c r="J383" s="1084"/>
      <c r="K383" s="1084"/>
      <c r="L383" s="932"/>
    </row>
    <row r="384" spans="1:12" s="106" customFormat="1" ht="15.75" hidden="1" customHeight="1" outlineLevel="1">
      <c r="A384" s="932"/>
      <c r="B384" s="1087"/>
      <c r="C384" s="1096"/>
      <c r="D384" s="1092"/>
      <c r="E384" s="1092"/>
      <c r="F384" s="1094"/>
      <c r="G384" s="103"/>
      <c r="H384" s="840"/>
      <c r="I384" s="1092"/>
      <c r="J384" s="1085"/>
      <c r="K384" s="1085"/>
      <c r="L384" s="932"/>
    </row>
    <row r="385" spans="1:12" s="106" customFormat="1" ht="15.75" hidden="1" customHeight="1" outlineLevel="1">
      <c r="A385" s="932"/>
      <c r="B385" s="1086">
        <v>125</v>
      </c>
      <c r="C385" s="1095"/>
      <c r="D385" s="1091"/>
      <c r="E385" s="1091" t="s">
        <v>20</v>
      </c>
      <c r="F385" s="1093" t="str">
        <f>VLOOKUP(E385,$N$13:$O$17,2,0)</f>
        <v>-</v>
      </c>
      <c r="G385" s="95"/>
      <c r="H385" s="839"/>
      <c r="I385" s="1091"/>
      <c r="J385" s="1083"/>
      <c r="K385" s="1083"/>
      <c r="L385" s="932"/>
    </row>
    <row r="386" spans="1:12" s="106" customFormat="1" ht="15.75" hidden="1" customHeight="1" outlineLevel="1">
      <c r="A386" s="932"/>
      <c r="B386" s="1086"/>
      <c r="C386" s="1095"/>
      <c r="D386" s="1091"/>
      <c r="E386" s="1091"/>
      <c r="F386" s="1093"/>
      <c r="G386" s="98"/>
      <c r="H386" s="839"/>
      <c r="I386" s="1091"/>
      <c r="J386" s="1084"/>
      <c r="K386" s="1084"/>
      <c r="L386" s="932"/>
    </row>
    <row r="387" spans="1:12" s="106" customFormat="1" ht="15.75" hidden="1" customHeight="1" outlineLevel="1">
      <c r="A387" s="932"/>
      <c r="B387" s="1087"/>
      <c r="C387" s="1096"/>
      <c r="D387" s="1092"/>
      <c r="E387" s="1092"/>
      <c r="F387" s="1094"/>
      <c r="G387" s="103"/>
      <c r="H387" s="840"/>
      <c r="I387" s="1092"/>
      <c r="J387" s="1085"/>
      <c r="K387" s="1085"/>
      <c r="L387" s="932"/>
    </row>
    <row r="388" spans="1:12" s="106" customFormat="1" ht="15.75" hidden="1" customHeight="1" outlineLevel="1">
      <c r="A388" s="932"/>
      <c r="B388" s="1086">
        <v>126</v>
      </c>
      <c r="C388" s="1095"/>
      <c r="D388" s="1091"/>
      <c r="E388" s="1091" t="s">
        <v>20</v>
      </c>
      <c r="F388" s="1093" t="str">
        <f>VLOOKUP(E388,$N$13:$O$17,2,0)</f>
        <v>-</v>
      </c>
      <c r="G388" s="95"/>
      <c r="H388" s="839"/>
      <c r="I388" s="1091"/>
      <c r="J388" s="1083"/>
      <c r="K388" s="1083"/>
      <c r="L388" s="932"/>
    </row>
    <row r="389" spans="1:12" s="106" customFormat="1" ht="15.75" hidden="1" customHeight="1" outlineLevel="1">
      <c r="A389" s="932"/>
      <c r="B389" s="1086"/>
      <c r="C389" s="1095"/>
      <c r="D389" s="1091"/>
      <c r="E389" s="1091"/>
      <c r="F389" s="1093"/>
      <c r="G389" s="98"/>
      <c r="H389" s="839"/>
      <c r="I389" s="1091"/>
      <c r="J389" s="1084"/>
      <c r="K389" s="1084"/>
      <c r="L389" s="932"/>
    </row>
    <row r="390" spans="1:12" s="106" customFormat="1" ht="15.75" hidden="1" customHeight="1" outlineLevel="1">
      <c r="A390" s="932"/>
      <c r="B390" s="1087"/>
      <c r="C390" s="1096"/>
      <c r="D390" s="1092"/>
      <c r="E390" s="1092"/>
      <c r="F390" s="1094"/>
      <c r="G390" s="103"/>
      <c r="H390" s="840"/>
      <c r="I390" s="1092"/>
      <c r="J390" s="1085"/>
      <c r="K390" s="1085"/>
      <c r="L390" s="932"/>
    </row>
    <row r="391" spans="1:12" s="106" customFormat="1" ht="15.75" hidden="1" customHeight="1" outlineLevel="1">
      <c r="A391" s="932"/>
      <c r="B391" s="1086">
        <v>127</v>
      </c>
      <c r="C391" s="1095"/>
      <c r="D391" s="1091"/>
      <c r="E391" s="1091" t="s">
        <v>20</v>
      </c>
      <c r="F391" s="1093" t="str">
        <f>VLOOKUP(E391,$N$13:$O$17,2,0)</f>
        <v>-</v>
      </c>
      <c r="G391" s="95"/>
      <c r="H391" s="839"/>
      <c r="I391" s="1091"/>
      <c r="J391" s="1083"/>
      <c r="K391" s="1083"/>
      <c r="L391" s="932"/>
    </row>
    <row r="392" spans="1:12" s="106" customFormat="1" ht="15.75" hidden="1" customHeight="1" outlineLevel="1">
      <c r="A392" s="932"/>
      <c r="B392" s="1086"/>
      <c r="C392" s="1095"/>
      <c r="D392" s="1091"/>
      <c r="E392" s="1091"/>
      <c r="F392" s="1093"/>
      <c r="G392" s="98"/>
      <c r="H392" s="839"/>
      <c r="I392" s="1091"/>
      <c r="J392" s="1084"/>
      <c r="K392" s="1084"/>
      <c r="L392" s="932"/>
    </row>
    <row r="393" spans="1:12" s="106" customFormat="1" ht="15.75" hidden="1" customHeight="1" outlineLevel="1">
      <c r="A393" s="932"/>
      <c r="B393" s="1087"/>
      <c r="C393" s="1096"/>
      <c r="D393" s="1092"/>
      <c r="E393" s="1092"/>
      <c r="F393" s="1094"/>
      <c r="G393" s="103"/>
      <c r="H393" s="840"/>
      <c r="I393" s="1092"/>
      <c r="J393" s="1085"/>
      <c r="K393" s="1085"/>
      <c r="L393" s="932"/>
    </row>
    <row r="394" spans="1:12" s="106" customFormat="1" ht="15.75" hidden="1" customHeight="1" outlineLevel="1">
      <c r="A394" s="932"/>
      <c r="B394" s="1086">
        <v>128</v>
      </c>
      <c r="C394" s="1095"/>
      <c r="D394" s="1091"/>
      <c r="E394" s="1091" t="s">
        <v>20</v>
      </c>
      <c r="F394" s="1093" t="str">
        <f>VLOOKUP(E394,$N$13:$O$17,2,0)</f>
        <v>-</v>
      </c>
      <c r="G394" s="95"/>
      <c r="H394" s="839"/>
      <c r="I394" s="1091"/>
      <c r="J394" s="1083"/>
      <c r="K394" s="1083"/>
      <c r="L394" s="932"/>
    </row>
    <row r="395" spans="1:12" s="106" customFormat="1" ht="15.75" hidden="1" customHeight="1" outlineLevel="1">
      <c r="A395" s="932"/>
      <c r="B395" s="1086"/>
      <c r="C395" s="1095"/>
      <c r="D395" s="1091"/>
      <c r="E395" s="1091"/>
      <c r="F395" s="1093"/>
      <c r="G395" s="98"/>
      <c r="H395" s="839"/>
      <c r="I395" s="1091"/>
      <c r="J395" s="1084"/>
      <c r="K395" s="1084"/>
      <c r="L395" s="932"/>
    </row>
    <row r="396" spans="1:12" s="106" customFormat="1" ht="15.75" hidden="1" customHeight="1" outlineLevel="1">
      <c r="A396" s="932"/>
      <c r="B396" s="1087"/>
      <c r="C396" s="1096"/>
      <c r="D396" s="1092"/>
      <c r="E396" s="1092"/>
      <c r="F396" s="1094"/>
      <c r="G396" s="103"/>
      <c r="H396" s="840"/>
      <c r="I396" s="1092"/>
      <c r="J396" s="1085"/>
      <c r="K396" s="1085"/>
      <c r="L396" s="932"/>
    </row>
    <row r="397" spans="1:12" s="106" customFormat="1" ht="15.75" hidden="1" customHeight="1" outlineLevel="1">
      <c r="A397" s="932"/>
      <c r="B397" s="1086">
        <v>129</v>
      </c>
      <c r="C397" s="1095"/>
      <c r="D397" s="1091"/>
      <c r="E397" s="1091" t="s">
        <v>20</v>
      </c>
      <c r="F397" s="1093" t="str">
        <f>VLOOKUP(E397,$N$13:$O$17,2,0)</f>
        <v>-</v>
      </c>
      <c r="G397" s="95"/>
      <c r="H397" s="839"/>
      <c r="I397" s="1091"/>
      <c r="J397" s="1083"/>
      <c r="K397" s="1083"/>
      <c r="L397" s="932"/>
    </row>
    <row r="398" spans="1:12" s="106" customFormat="1" ht="15.75" hidden="1" customHeight="1" outlineLevel="1">
      <c r="A398" s="932"/>
      <c r="B398" s="1086"/>
      <c r="C398" s="1095"/>
      <c r="D398" s="1091"/>
      <c r="E398" s="1091"/>
      <c r="F398" s="1093"/>
      <c r="G398" s="98"/>
      <c r="H398" s="839"/>
      <c r="I398" s="1091"/>
      <c r="J398" s="1084"/>
      <c r="K398" s="1084"/>
      <c r="L398" s="932"/>
    </row>
    <row r="399" spans="1:12" s="106" customFormat="1" ht="15.75" hidden="1" customHeight="1" outlineLevel="1">
      <c r="A399" s="932"/>
      <c r="B399" s="1087"/>
      <c r="C399" s="1096"/>
      <c r="D399" s="1092"/>
      <c r="E399" s="1092"/>
      <c r="F399" s="1094"/>
      <c r="G399" s="103"/>
      <c r="H399" s="840"/>
      <c r="I399" s="1092"/>
      <c r="J399" s="1085"/>
      <c r="K399" s="1085"/>
      <c r="L399" s="932"/>
    </row>
    <row r="400" spans="1:12" s="106" customFormat="1" ht="15.75" hidden="1" customHeight="1" outlineLevel="1">
      <c r="A400" s="932"/>
      <c r="B400" s="1086">
        <v>130</v>
      </c>
      <c r="C400" s="1095"/>
      <c r="D400" s="1091"/>
      <c r="E400" s="1091" t="s">
        <v>20</v>
      </c>
      <c r="F400" s="1093" t="str">
        <f>VLOOKUP(E400,$N$13:$O$17,2,0)</f>
        <v>-</v>
      </c>
      <c r="G400" s="95"/>
      <c r="H400" s="839"/>
      <c r="I400" s="1091"/>
      <c r="J400" s="1083"/>
      <c r="K400" s="1083"/>
      <c r="L400" s="932"/>
    </row>
    <row r="401" spans="1:12" s="106" customFormat="1" ht="15.75" hidden="1" customHeight="1" outlineLevel="1">
      <c r="A401" s="932"/>
      <c r="B401" s="1086"/>
      <c r="C401" s="1095"/>
      <c r="D401" s="1091"/>
      <c r="E401" s="1091"/>
      <c r="F401" s="1093"/>
      <c r="G401" s="98"/>
      <c r="H401" s="839"/>
      <c r="I401" s="1091"/>
      <c r="J401" s="1084"/>
      <c r="K401" s="1084"/>
      <c r="L401" s="932"/>
    </row>
    <row r="402" spans="1:12" s="106" customFormat="1" ht="15.75" hidden="1" customHeight="1" outlineLevel="1">
      <c r="A402" s="932"/>
      <c r="B402" s="1087"/>
      <c r="C402" s="1096"/>
      <c r="D402" s="1092"/>
      <c r="E402" s="1092"/>
      <c r="F402" s="1094"/>
      <c r="G402" s="103"/>
      <c r="H402" s="840"/>
      <c r="I402" s="1092"/>
      <c r="J402" s="1085"/>
      <c r="K402" s="1085"/>
      <c r="L402" s="932"/>
    </row>
    <row r="403" spans="1:12" s="106" customFormat="1" ht="15.75" hidden="1" customHeight="1" outlineLevel="1">
      <c r="A403" s="932"/>
      <c r="B403" s="1086">
        <v>131</v>
      </c>
      <c r="C403" s="1095"/>
      <c r="D403" s="1091"/>
      <c r="E403" s="1091" t="s">
        <v>20</v>
      </c>
      <c r="F403" s="1093" t="str">
        <f>VLOOKUP(E403,$N$13:$O$17,2,0)</f>
        <v>-</v>
      </c>
      <c r="G403" s="95"/>
      <c r="H403" s="839"/>
      <c r="I403" s="1091"/>
      <c r="J403" s="1083"/>
      <c r="K403" s="1083"/>
      <c r="L403" s="932"/>
    </row>
    <row r="404" spans="1:12" s="106" customFormat="1" ht="15.75" hidden="1" customHeight="1" outlineLevel="1">
      <c r="A404" s="932"/>
      <c r="B404" s="1086"/>
      <c r="C404" s="1095"/>
      <c r="D404" s="1091"/>
      <c r="E404" s="1091"/>
      <c r="F404" s="1093"/>
      <c r="G404" s="98"/>
      <c r="H404" s="839"/>
      <c r="I404" s="1091"/>
      <c r="J404" s="1084"/>
      <c r="K404" s="1084"/>
      <c r="L404" s="932"/>
    </row>
    <row r="405" spans="1:12" s="106" customFormat="1" ht="15.75" hidden="1" customHeight="1" outlineLevel="1">
      <c r="A405" s="932"/>
      <c r="B405" s="1087"/>
      <c r="C405" s="1096"/>
      <c r="D405" s="1092"/>
      <c r="E405" s="1092"/>
      <c r="F405" s="1094"/>
      <c r="G405" s="103"/>
      <c r="H405" s="840"/>
      <c r="I405" s="1092"/>
      <c r="J405" s="1085"/>
      <c r="K405" s="1085"/>
      <c r="L405" s="932"/>
    </row>
    <row r="406" spans="1:12" s="106" customFormat="1" ht="15.75" hidden="1" customHeight="1" outlineLevel="1">
      <c r="A406" s="932"/>
      <c r="B406" s="1086">
        <v>132</v>
      </c>
      <c r="C406" s="1095"/>
      <c r="D406" s="1091"/>
      <c r="E406" s="1091" t="s">
        <v>20</v>
      </c>
      <c r="F406" s="1093" t="str">
        <f>VLOOKUP(E406,$N$13:$O$17,2,0)</f>
        <v>-</v>
      </c>
      <c r="G406" s="95"/>
      <c r="H406" s="839"/>
      <c r="I406" s="1091"/>
      <c r="J406" s="1083"/>
      <c r="K406" s="1083"/>
      <c r="L406" s="932"/>
    </row>
    <row r="407" spans="1:12" s="106" customFormat="1" ht="15.75" hidden="1" customHeight="1" outlineLevel="1">
      <c r="A407" s="932"/>
      <c r="B407" s="1086"/>
      <c r="C407" s="1095"/>
      <c r="D407" s="1091"/>
      <c r="E407" s="1091"/>
      <c r="F407" s="1093"/>
      <c r="G407" s="98"/>
      <c r="H407" s="839"/>
      <c r="I407" s="1091"/>
      <c r="J407" s="1084"/>
      <c r="K407" s="1084"/>
      <c r="L407" s="932"/>
    </row>
    <row r="408" spans="1:12" s="106" customFormat="1" ht="15.75" hidden="1" customHeight="1" outlineLevel="1">
      <c r="A408" s="932"/>
      <c r="B408" s="1087"/>
      <c r="C408" s="1096"/>
      <c r="D408" s="1092"/>
      <c r="E408" s="1092"/>
      <c r="F408" s="1094"/>
      <c r="G408" s="103"/>
      <c r="H408" s="840"/>
      <c r="I408" s="1092"/>
      <c r="J408" s="1085"/>
      <c r="K408" s="1085"/>
      <c r="L408" s="932"/>
    </row>
    <row r="409" spans="1:12" s="106" customFormat="1" ht="15.75" hidden="1" customHeight="1" outlineLevel="1">
      <c r="A409" s="932"/>
      <c r="B409" s="1086">
        <v>133</v>
      </c>
      <c r="C409" s="1095"/>
      <c r="D409" s="1091"/>
      <c r="E409" s="1091" t="s">
        <v>20</v>
      </c>
      <c r="F409" s="1093" t="str">
        <f>VLOOKUP(E409,$N$13:$O$17,2,0)</f>
        <v>-</v>
      </c>
      <c r="G409" s="95"/>
      <c r="H409" s="839"/>
      <c r="I409" s="1091"/>
      <c r="J409" s="1083"/>
      <c r="K409" s="1083"/>
      <c r="L409" s="932"/>
    </row>
    <row r="410" spans="1:12" s="106" customFormat="1" ht="15.75" hidden="1" customHeight="1" outlineLevel="1">
      <c r="A410" s="932"/>
      <c r="B410" s="1086"/>
      <c r="C410" s="1095"/>
      <c r="D410" s="1091"/>
      <c r="E410" s="1091"/>
      <c r="F410" s="1093"/>
      <c r="G410" s="98"/>
      <c r="H410" s="839"/>
      <c r="I410" s="1091"/>
      <c r="J410" s="1084"/>
      <c r="K410" s="1084"/>
      <c r="L410" s="932"/>
    </row>
    <row r="411" spans="1:12" s="106" customFormat="1" ht="15.75" hidden="1" customHeight="1" outlineLevel="1">
      <c r="A411" s="932"/>
      <c r="B411" s="1087"/>
      <c r="C411" s="1096"/>
      <c r="D411" s="1092"/>
      <c r="E411" s="1092"/>
      <c r="F411" s="1094"/>
      <c r="G411" s="103"/>
      <c r="H411" s="840"/>
      <c r="I411" s="1092"/>
      <c r="J411" s="1085"/>
      <c r="K411" s="1085"/>
      <c r="L411" s="932"/>
    </row>
    <row r="412" spans="1:12" s="106" customFormat="1" ht="15.75" hidden="1" customHeight="1" outlineLevel="1">
      <c r="A412" s="932"/>
      <c r="B412" s="1086">
        <v>134</v>
      </c>
      <c r="C412" s="1095"/>
      <c r="D412" s="1091"/>
      <c r="E412" s="1091" t="s">
        <v>20</v>
      </c>
      <c r="F412" s="1093" t="str">
        <f>VLOOKUP(E412,$N$13:$O$17,2,0)</f>
        <v>-</v>
      </c>
      <c r="G412" s="95"/>
      <c r="H412" s="839"/>
      <c r="I412" s="1091"/>
      <c r="J412" s="1083"/>
      <c r="K412" s="1083"/>
      <c r="L412" s="932"/>
    </row>
    <row r="413" spans="1:12" s="106" customFormat="1" ht="15.75" hidden="1" customHeight="1" outlineLevel="1">
      <c r="A413" s="932"/>
      <c r="B413" s="1086"/>
      <c r="C413" s="1095"/>
      <c r="D413" s="1091"/>
      <c r="E413" s="1091"/>
      <c r="F413" s="1093"/>
      <c r="G413" s="98"/>
      <c r="H413" s="839"/>
      <c r="I413" s="1091"/>
      <c r="J413" s="1084"/>
      <c r="K413" s="1084"/>
      <c r="L413" s="932"/>
    </row>
    <row r="414" spans="1:12" s="106" customFormat="1" ht="15.75" hidden="1" customHeight="1" outlineLevel="1">
      <c r="A414" s="932"/>
      <c r="B414" s="1087"/>
      <c r="C414" s="1096"/>
      <c r="D414" s="1092"/>
      <c r="E414" s="1092"/>
      <c r="F414" s="1094"/>
      <c r="G414" s="103"/>
      <c r="H414" s="840"/>
      <c r="I414" s="1092"/>
      <c r="J414" s="1085"/>
      <c r="K414" s="1085"/>
      <c r="L414" s="932"/>
    </row>
    <row r="415" spans="1:12" s="106" customFormat="1" ht="15.75" hidden="1" customHeight="1" outlineLevel="1">
      <c r="A415" s="932"/>
      <c r="B415" s="1086">
        <v>135</v>
      </c>
      <c r="C415" s="1095"/>
      <c r="D415" s="1091"/>
      <c r="E415" s="1091" t="s">
        <v>20</v>
      </c>
      <c r="F415" s="1093" t="str">
        <f>VLOOKUP(E415,$N$13:$O$17,2,0)</f>
        <v>-</v>
      </c>
      <c r="G415" s="95"/>
      <c r="H415" s="839"/>
      <c r="I415" s="1091"/>
      <c r="J415" s="1083"/>
      <c r="K415" s="1083"/>
      <c r="L415" s="932"/>
    </row>
    <row r="416" spans="1:12" s="106" customFormat="1" ht="15.75" hidden="1" customHeight="1" outlineLevel="1">
      <c r="A416" s="932"/>
      <c r="B416" s="1086"/>
      <c r="C416" s="1095"/>
      <c r="D416" s="1091"/>
      <c r="E416" s="1091"/>
      <c r="F416" s="1093"/>
      <c r="G416" s="98"/>
      <c r="H416" s="839"/>
      <c r="I416" s="1091"/>
      <c r="J416" s="1084"/>
      <c r="K416" s="1084"/>
      <c r="L416" s="932"/>
    </row>
    <row r="417" spans="1:12" s="106" customFormat="1" ht="15.75" hidden="1" customHeight="1" outlineLevel="1">
      <c r="A417" s="932"/>
      <c r="B417" s="1087"/>
      <c r="C417" s="1096"/>
      <c r="D417" s="1092"/>
      <c r="E417" s="1092"/>
      <c r="F417" s="1094"/>
      <c r="G417" s="103"/>
      <c r="H417" s="840"/>
      <c r="I417" s="1092"/>
      <c r="J417" s="1085"/>
      <c r="K417" s="1085"/>
      <c r="L417" s="932"/>
    </row>
    <row r="418" spans="1:12" s="106" customFormat="1" ht="15.75" hidden="1" customHeight="1" outlineLevel="1">
      <c r="A418" s="932"/>
      <c r="B418" s="1086">
        <v>136</v>
      </c>
      <c r="C418" s="1095"/>
      <c r="D418" s="1091"/>
      <c r="E418" s="1091" t="s">
        <v>20</v>
      </c>
      <c r="F418" s="1093" t="str">
        <f>VLOOKUP(E418,$N$13:$O$17,2,0)</f>
        <v>-</v>
      </c>
      <c r="G418" s="95"/>
      <c r="H418" s="839"/>
      <c r="I418" s="1091"/>
      <c r="J418" s="1083"/>
      <c r="K418" s="1083"/>
      <c r="L418" s="932"/>
    </row>
    <row r="419" spans="1:12" s="106" customFormat="1" ht="15.75" hidden="1" customHeight="1" outlineLevel="1">
      <c r="A419" s="932"/>
      <c r="B419" s="1086"/>
      <c r="C419" s="1095"/>
      <c r="D419" s="1091"/>
      <c r="E419" s="1091"/>
      <c r="F419" s="1093"/>
      <c r="G419" s="98"/>
      <c r="H419" s="839"/>
      <c r="I419" s="1091"/>
      <c r="J419" s="1084"/>
      <c r="K419" s="1084"/>
      <c r="L419" s="932"/>
    </row>
    <row r="420" spans="1:12" s="106" customFormat="1" ht="15.75" hidden="1" customHeight="1" outlineLevel="1">
      <c r="A420" s="932"/>
      <c r="B420" s="1087"/>
      <c r="C420" s="1096"/>
      <c r="D420" s="1092"/>
      <c r="E420" s="1092"/>
      <c r="F420" s="1094"/>
      <c r="G420" s="103"/>
      <c r="H420" s="840"/>
      <c r="I420" s="1092"/>
      <c r="J420" s="1085"/>
      <c r="K420" s="1085"/>
      <c r="L420" s="932"/>
    </row>
    <row r="421" spans="1:12" s="106" customFormat="1" ht="15.75" hidden="1" customHeight="1" outlineLevel="1">
      <c r="A421" s="932"/>
      <c r="B421" s="1086">
        <v>137</v>
      </c>
      <c r="C421" s="1095"/>
      <c r="D421" s="1091"/>
      <c r="E421" s="1091" t="s">
        <v>20</v>
      </c>
      <c r="F421" s="1093" t="str">
        <f>VLOOKUP(E421,$N$13:$O$17,2,0)</f>
        <v>-</v>
      </c>
      <c r="G421" s="95"/>
      <c r="H421" s="839"/>
      <c r="I421" s="1091"/>
      <c r="J421" s="1083"/>
      <c r="K421" s="1083"/>
      <c r="L421" s="932"/>
    </row>
    <row r="422" spans="1:12" s="106" customFormat="1" ht="15.75" hidden="1" customHeight="1" outlineLevel="1">
      <c r="A422" s="932"/>
      <c r="B422" s="1086"/>
      <c r="C422" s="1095"/>
      <c r="D422" s="1091"/>
      <c r="E422" s="1091"/>
      <c r="F422" s="1093"/>
      <c r="G422" s="98"/>
      <c r="H422" s="839"/>
      <c r="I422" s="1091"/>
      <c r="J422" s="1084"/>
      <c r="K422" s="1084"/>
      <c r="L422" s="932"/>
    </row>
    <row r="423" spans="1:12" s="106" customFormat="1" ht="15.75" hidden="1" customHeight="1" outlineLevel="1">
      <c r="A423" s="932"/>
      <c r="B423" s="1087"/>
      <c r="C423" s="1096"/>
      <c r="D423" s="1092"/>
      <c r="E423" s="1092"/>
      <c r="F423" s="1094"/>
      <c r="G423" s="103"/>
      <c r="H423" s="840"/>
      <c r="I423" s="1092"/>
      <c r="J423" s="1085"/>
      <c r="K423" s="1085"/>
      <c r="L423" s="932"/>
    </row>
    <row r="424" spans="1:12" s="106" customFormat="1" ht="15.75" hidden="1" customHeight="1" outlineLevel="1">
      <c r="A424" s="932"/>
      <c r="B424" s="1086">
        <v>138</v>
      </c>
      <c r="C424" s="1095"/>
      <c r="D424" s="1091"/>
      <c r="E424" s="1091" t="s">
        <v>20</v>
      </c>
      <c r="F424" s="1093" t="str">
        <f>VLOOKUP(E424,$N$13:$O$17,2,0)</f>
        <v>-</v>
      </c>
      <c r="G424" s="95"/>
      <c r="H424" s="839"/>
      <c r="I424" s="1091"/>
      <c r="J424" s="1083"/>
      <c r="K424" s="1083"/>
      <c r="L424" s="932"/>
    </row>
    <row r="425" spans="1:12" s="106" customFormat="1" ht="15.75" hidden="1" customHeight="1" outlineLevel="1">
      <c r="A425" s="932"/>
      <c r="B425" s="1086"/>
      <c r="C425" s="1095"/>
      <c r="D425" s="1091"/>
      <c r="E425" s="1091"/>
      <c r="F425" s="1093"/>
      <c r="G425" s="98"/>
      <c r="H425" s="839"/>
      <c r="I425" s="1091"/>
      <c r="J425" s="1084"/>
      <c r="K425" s="1084"/>
      <c r="L425" s="932"/>
    </row>
    <row r="426" spans="1:12" s="106" customFormat="1" ht="15.75" hidden="1" customHeight="1" outlineLevel="1">
      <c r="A426" s="932"/>
      <c r="B426" s="1087"/>
      <c r="C426" s="1096"/>
      <c r="D426" s="1092"/>
      <c r="E426" s="1092"/>
      <c r="F426" s="1094"/>
      <c r="G426" s="103"/>
      <c r="H426" s="840"/>
      <c r="I426" s="1092"/>
      <c r="J426" s="1085"/>
      <c r="K426" s="1085"/>
      <c r="L426" s="932"/>
    </row>
    <row r="427" spans="1:12" s="106" customFormat="1" ht="15.75" hidden="1" customHeight="1" outlineLevel="1">
      <c r="A427" s="932"/>
      <c r="B427" s="1086">
        <v>139</v>
      </c>
      <c r="C427" s="1095"/>
      <c r="D427" s="1091"/>
      <c r="E427" s="1091" t="s">
        <v>20</v>
      </c>
      <c r="F427" s="1093" t="str">
        <f>VLOOKUP(E427,$N$13:$O$17,2,0)</f>
        <v>-</v>
      </c>
      <c r="G427" s="95"/>
      <c r="H427" s="839"/>
      <c r="I427" s="1091"/>
      <c r="J427" s="1083"/>
      <c r="K427" s="1083"/>
      <c r="L427" s="932"/>
    </row>
    <row r="428" spans="1:12" s="106" customFormat="1" ht="15.75" hidden="1" customHeight="1" outlineLevel="1">
      <c r="A428" s="932"/>
      <c r="B428" s="1086"/>
      <c r="C428" s="1095"/>
      <c r="D428" s="1091"/>
      <c r="E428" s="1091"/>
      <c r="F428" s="1093"/>
      <c r="G428" s="98"/>
      <c r="H428" s="839"/>
      <c r="I428" s="1091"/>
      <c r="J428" s="1084"/>
      <c r="K428" s="1084"/>
      <c r="L428" s="932"/>
    </row>
    <row r="429" spans="1:12" s="106" customFormat="1" ht="15.75" hidden="1" customHeight="1" outlineLevel="1">
      <c r="A429" s="932"/>
      <c r="B429" s="1087"/>
      <c r="C429" s="1096"/>
      <c r="D429" s="1092"/>
      <c r="E429" s="1092"/>
      <c r="F429" s="1094"/>
      <c r="G429" s="103"/>
      <c r="H429" s="840"/>
      <c r="I429" s="1092"/>
      <c r="J429" s="1085"/>
      <c r="K429" s="1085"/>
      <c r="L429" s="932"/>
    </row>
    <row r="430" spans="1:12" s="106" customFormat="1" ht="15.75" hidden="1" customHeight="1" outlineLevel="1">
      <c r="A430" s="932"/>
      <c r="B430" s="1086">
        <v>140</v>
      </c>
      <c r="C430" s="1095"/>
      <c r="D430" s="1091"/>
      <c r="E430" s="1091" t="s">
        <v>20</v>
      </c>
      <c r="F430" s="1093" t="str">
        <f>VLOOKUP(E430,$N$13:$O$17,2,0)</f>
        <v>-</v>
      </c>
      <c r="G430" s="95"/>
      <c r="H430" s="839"/>
      <c r="I430" s="1091"/>
      <c r="J430" s="1083"/>
      <c r="K430" s="1083"/>
      <c r="L430" s="932"/>
    </row>
    <row r="431" spans="1:12" s="106" customFormat="1" ht="15.75" hidden="1" customHeight="1" outlineLevel="1">
      <c r="A431" s="932"/>
      <c r="B431" s="1086"/>
      <c r="C431" s="1095"/>
      <c r="D431" s="1091"/>
      <c r="E431" s="1091"/>
      <c r="F431" s="1093"/>
      <c r="G431" s="98"/>
      <c r="H431" s="839"/>
      <c r="I431" s="1091"/>
      <c r="J431" s="1084"/>
      <c r="K431" s="1084"/>
      <c r="L431" s="932"/>
    </row>
    <row r="432" spans="1:12" s="106" customFormat="1" ht="15.75" hidden="1" customHeight="1" outlineLevel="1">
      <c r="A432" s="932"/>
      <c r="B432" s="1087"/>
      <c r="C432" s="1096"/>
      <c r="D432" s="1092"/>
      <c r="E432" s="1092"/>
      <c r="F432" s="1094"/>
      <c r="G432" s="103"/>
      <c r="H432" s="840"/>
      <c r="I432" s="1092"/>
      <c r="J432" s="1085"/>
      <c r="K432" s="1085"/>
      <c r="L432" s="932"/>
    </row>
    <row r="433" spans="1:12" s="106" customFormat="1" ht="15.75" hidden="1" customHeight="1" outlineLevel="1">
      <c r="A433" s="932"/>
      <c r="B433" s="1086">
        <v>141</v>
      </c>
      <c r="C433" s="1095"/>
      <c r="D433" s="1091"/>
      <c r="E433" s="1091" t="s">
        <v>20</v>
      </c>
      <c r="F433" s="1093" t="str">
        <f>VLOOKUP(E433,$N$13:$O$17,2,0)</f>
        <v>-</v>
      </c>
      <c r="G433" s="95"/>
      <c r="H433" s="839"/>
      <c r="I433" s="1091"/>
      <c r="J433" s="1083"/>
      <c r="K433" s="1083"/>
      <c r="L433" s="932"/>
    </row>
    <row r="434" spans="1:12" s="106" customFormat="1" ht="15.75" hidden="1" customHeight="1" outlineLevel="1">
      <c r="A434" s="932"/>
      <c r="B434" s="1086"/>
      <c r="C434" s="1095"/>
      <c r="D434" s="1091"/>
      <c r="E434" s="1091"/>
      <c r="F434" s="1093"/>
      <c r="G434" s="98"/>
      <c r="H434" s="839"/>
      <c r="I434" s="1091"/>
      <c r="J434" s="1084"/>
      <c r="K434" s="1084"/>
      <c r="L434" s="932"/>
    </row>
    <row r="435" spans="1:12" s="106" customFormat="1" ht="15.75" hidden="1" customHeight="1" outlineLevel="1">
      <c r="A435" s="932"/>
      <c r="B435" s="1087"/>
      <c r="C435" s="1096"/>
      <c r="D435" s="1092"/>
      <c r="E435" s="1092"/>
      <c r="F435" s="1094"/>
      <c r="G435" s="103"/>
      <c r="H435" s="840"/>
      <c r="I435" s="1092"/>
      <c r="J435" s="1085"/>
      <c r="K435" s="1085"/>
      <c r="L435" s="932"/>
    </row>
    <row r="436" spans="1:12" s="106" customFormat="1" ht="15.75" hidden="1" customHeight="1" outlineLevel="1">
      <c r="A436" s="932"/>
      <c r="B436" s="1086">
        <v>142</v>
      </c>
      <c r="C436" s="1095"/>
      <c r="D436" s="1091"/>
      <c r="E436" s="1091" t="s">
        <v>20</v>
      </c>
      <c r="F436" s="1093" t="str">
        <f>VLOOKUP(E436,$N$13:$O$17,2,0)</f>
        <v>-</v>
      </c>
      <c r="G436" s="95"/>
      <c r="H436" s="839"/>
      <c r="I436" s="1091"/>
      <c r="J436" s="1083"/>
      <c r="K436" s="1083"/>
      <c r="L436" s="932"/>
    </row>
    <row r="437" spans="1:12" s="106" customFormat="1" ht="15.75" hidden="1" customHeight="1" outlineLevel="1">
      <c r="A437" s="932"/>
      <c r="B437" s="1086"/>
      <c r="C437" s="1095"/>
      <c r="D437" s="1091"/>
      <c r="E437" s="1091"/>
      <c r="F437" s="1093"/>
      <c r="G437" s="98"/>
      <c r="H437" s="839"/>
      <c r="I437" s="1091"/>
      <c r="J437" s="1084"/>
      <c r="K437" s="1084"/>
      <c r="L437" s="932"/>
    </row>
    <row r="438" spans="1:12" s="106" customFormat="1" ht="15.75" hidden="1" customHeight="1" outlineLevel="1">
      <c r="A438" s="932"/>
      <c r="B438" s="1087"/>
      <c r="C438" s="1096"/>
      <c r="D438" s="1092"/>
      <c r="E438" s="1092"/>
      <c r="F438" s="1094"/>
      <c r="G438" s="103"/>
      <c r="H438" s="840"/>
      <c r="I438" s="1092"/>
      <c r="J438" s="1085"/>
      <c r="K438" s="1085"/>
      <c r="L438" s="932"/>
    </row>
    <row r="439" spans="1:12" s="106" customFormat="1" ht="15.75" hidden="1" customHeight="1" outlineLevel="1">
      <c r="A439" s="932"/>
      <c r="B439" s="1086">
        <v>143</v>
      </c>
      <c r="C439" s="1095"/>
      <c r="D439" s="1091"/>
      <c r="E439" s="1091" t="s">
        <v>20</v>
      </c>
      <c r="F439" s="1093" t="str">
        <f>VLOOKUP(E439,$N$13:$O$17,2,0)</f>
        <v>-</v>
      </c>
      <c r="G439" s="95"/>
      <c r="H439" s="839"/>
      <c r="I439" s="1091"/>
      <c r="J439" s="1083"/>
      <c r="K439" s="1083"/>
      <c r="L439" s="932"/>
    </row>
    <row r="440" spans="1:12" s="106" customFormat="1" ht="15.75" hidden="1" customHeight="1" outlineLevel="1">
      <c r="A440" s="932"/>
      <c r="B440" s="1086"/>
      <c r="C440" s="1095"/>
      <c r="D440" s="1091"/>
      <c r="E440" s="1091"/>
      <c r="F440" s="1093"/>
      <c r="G440" s="98"/>
      <c r="H440" s="839"/>
      <c r="I440" s="1091"/>
      <c r="J440" s="1084"/>
      <c r="K440" s="1084"/>
      <c r="L440" s="932"/>
    </row>
    <row r="441" spans="1:12" s="106" customFormat="1" ht="15.75" hidden="1" customHeight="1" outlineLevel="1">
      <c r="A441" s="932"/>
      <c r="B441" s="1087"/>
      <c r="C441" s="1096"/>
      <c r="D441" s="1092"/>
      <c r="E441" s="1092"/>
      <c r="F441" s="1094"/>
      <c r="G441" s="103"/>
      <c r="H441" s="840"/>
      <c r="I441" s="1092"/>
      <c r="J441" s="1085"/>
      <c r="K441" s="1085"/>
      <c r="L441" s="932"/>
    </row>
    <row r="442" spans="1:12" s="106" customFormat="1" ht="15.75" hidden="1" customHeight="1" outlineLevel="1">
      <c r="A442" s="932"/>
      <c r="B442" s="1086">
        <v>144</v>
      </c>
      <c r="C442" s="1095"/>
      <c r="D442" s="1091"/>
      <c r="E442" s="1091" t="s">
        <v>20</v>
      </c>
      <c r="F442" s="1093" t="str">
        <f>VLOOKUP(E442,$N$13:$O$17,2,0)</f>
        <v>-</v>
      </c>
      <c r="G442" s="95"/>
      <c r="H442" s="839"/>
      <c r="I442" s="1091"/>
      <c r="J442" s="1083"/>
      <c r="K442" s="1083"/>
      <c r="L442" s="932"/>
    </row>
    <row r="443" spans="1:12" s="106" customFormat="1" ht="15.75" hidden="1" customHeight="1" outlineLevel="1">
      <c r="A443" s="932"/>
      <c r="B443" s="1086"/>
      <c r="C443" s="1095"/>
      <c r="D443" s="1091"/>
      <c r="E443" s="1091"/>
      <c r="F443" s="1093"/>
      <c r="G443" s="98"/>
      <c r="H443" s="839"/>
      <c r="I443" s="1091"/>
      <c r="J443" s="1084"/>
      <c r="K443" s="1084"/>
      <c r="L443" s="932"/>
    </row>
    <row r="444" spans="1:12" s="106" customFormat="1" ht="15.75" hidden="1" customHeight="1" outlineLevel="1">
      <c r="A444" s="932"/>
      <c r="B444" s="1087"/>
      <c r="C444" s="1096"/>
      <c r="D444" s="1092"/>
      <c r="E444" s="1092"/>
      <c r="F444" s="1094"/>
      <c r="G444" s="103"/>
      <c r="H444" s="840"/>
      <c r="I444" s="1092"/>
      <c r="J444" s="1085"/>
      <c r="K444" s="1085"/>
      <c r="L444" s="932"/>
    </row>
    <row r="445" spans="1:12" s="106" customFormat="1" ht="15.75" hidden="1" customHeight="1" outlineLevel="1">
      <c r="A445" s="932"/>
      <c r="B445" s="1086">
        <v>145</v>
      </c>
      <c r="C445" s="1095"/>
      <c r="D445" s="1091"/>
      <c r="E445" s="1091" t="s">
        <v>20</v>
      </c>
      <c r="F445" s="1093" t="str">
        <f>VLOOKUP(E445,$N$13:$O$17,2,0)</f>
        <v>-</v>
      </c>
      <c r="G445" s="95"/>
      <c r="H445" s="839"/>
      <c r="I445" s="1091"/>
      <c r="J445" s="1083"/>
      <c r="K445" s="1083"/>
      <c r="L445" s="932"/>
    </row>
    <row r="446" spans="1:12" s="106" customFormat="1" ht="15.75" hidden="1" customHeight="1" outlineLevel="1">
      <c r="A446" s="932"/>
      <c r="B446" s="1086"/>
      <c r="C446" s="1095"/>
      <c r="D446" s="1091"/>
      <c r="E446" s="1091"/>
      <c r="F446" s="1093"/>
      <c r="G446" s="98"/>
      <c r="H446" s="839"/>
      <c r="I446" s="1091"/>
      <c r="J446" s="1084"/>
      <c r="K446" s="1084"/>
      <c r="L446" s="932"/>
    </row>
    <row r="447" spans="1:12" s="106" customFormat="1" ht="15.75" hidden="1" customHeight="1" outlineLevel="1">
      <c r="A447" s="932"/>
      <c r="B447" s="1087"/>
      <c r="C447" s="1096"/>
      <c r="D447" s="1092"/>
      <c r="E447" s="1092"/>
      <c r="F447" s="1094"/>
      <c r="G447" s="103"/>
      <c r="H447" s="840"/>
      <c r="I447" s="1092"/>
      <c r="J447" s="1085"/>
      <c r="K447" s="1085"/>
      <c r="L447" s="932"/>
    </row>
    <row r="448" spans="1:12" s="106" customFormat="1" ht="15.75" hidden="1" customHeight="1" outlineLevel="1">
      <c r="A448" s="932"/>
      <c r="B448" s="1086">
        <v>146</v>
      </c>
      <c r="C448" s="1095"/>
      <c r="D448" s="1091"/>
      <c r="E448" s="1091" t="s">
        <v>20</v>
      </c>
      <c r="F448" s="1093" t="str">
        <f>VLOOKUP(E448,$N$13:$O$17,2,0)</f>
        <v>-</v>
      </c>
      <c r="G448" s="95"/>
      <c r="H448" s="839"/>
      <c r="I448" s="1091"/>
      <c r="J448" s="1083"/>
      <c r="K448" s="1083"/>
      <c r="L448" s="932"/>
    </row>
    <row r="449" spans="1:12" s="106" customFormat="1" ht="15.75" hidden="1" customHeight="1" outlineLevel="1">
      <c r="A449" s="932"/>
      <c r="B449" s="1086"/>
      <c r="C449" s="1095"/>
      <c r="D449" s="1091"/>
      <c r="E449" s="1091"/>
      <c r="F449" s="1093"/>
      <c r="G449" s="98"/>
      <c r="H449" s="839"/>
      <c r="I449" s="1091"/>
      <c r="J449" s="1084"/>
      <c r="K449" s="1084"/>
      <c r="L449" s="932"/>
    </row>
    <row r="450" spans="1:12" s="106" customFormat="1" ht="15.75" hidden="1" customHeight="1" outlineLevel="1">
      <c r="A450" s="932"/>
      <c r="B450" s="1087"/>
      <c r="C450" s="1096"/>
      <c r="D450" s="1092"/>
      <c r="E450" s="1092"/>
      <c r="F450" s="1094"/>
      <c r="G450" s="103"/>
      <c r="H450" s="840"/>
      <c r="I450" s="1092"/>
      <c r="J450" s="1085"/>
      <c r="K450" s="1085"/>
      <c r="L450" s="932"/>
    </row>
    <row r="451" spans="1:12" s="106" customFormat="1" ht="15.75" hidden="1" customHeight="1" outlineLevel="1">
      <c r="A451" s="932"/>
      <c r="B451" s="1086">
        <v>147</v>
      </c>
      <c r="C451" s="1095"/>
      <c r="D451" s="1091"/>
      <c r="E451" s="1091" t="s">
        <v>20</v>
      </c>
      <c r="F451" s="1093" t="str">
        <f>VLOOKUP(E451,$N$13:$O$17,2,0)</f>
        <v>-</v>
      </c>
      <c r="G451" s="95"/>
      <c r="H451" s="839"/>
      <c r="I451" s="1091"/>
      <c r="J451" s="1083"/>
      <c r="K451" s="1083"/>
      <c r="L451" s="932"/>
    </row>
    <row r="452" spans="1:12" s="106" customFormat="1" ht="15.75" hidden="1" customHeight="1" outlineLevel="1">
      <c r="A452" s="932"/>
      <c r="B452" s="1086"/>
      <c r="C452" s="1095"/>
      <c r="D452" s="1091"/>
      <c r="E452" s="1091"/>
      <c r="F452" s="1093"/>
      <c r="G452" s="98"/>
      <c r="H452" s="839"/>
      <c r="I452" s="1091"/>
      <c r="J452" s="1084"/>
      <c r="K452" s="1084"/>
      <c r="L452" s="932"/>
    </row>
    <row r="453" spans="1:12" s="106" customFormat="1" ht="15.75" hidden="1" customHeight="1" outlineLevel="1">
      <c r="A453" s="932"/>
      <c r="B453" s="1087"/>
      <c r="C453" s="1096"/>
      <c r="D453" s="1092"/>
      <c r="E453" s="1092"/>
      <c r="F453" s="1094"/>
      <c r="G453" s="103"/>
      <c r="H453" s="840"/>
      <c r="I453" s="1092"/>
      <c r="J453" s="1085"/>
      <c r="K453" s="1085"/>
      <c r="L453" s="932"/>
    </row>
    <row r="454" spans="1:12" s="106" customFormat="1" ht="15.75" hidden="1" customHeight="1" outlineLevel="1">
      <c r="A454" s="932"/>
      <c r="B454" s="1086">
        <v>148</v>
      </c>
      <c r="C454" s="1095"/>
      <c r="D454" s="1091"/>
      <c r="E454" s="1091" t="s">
        <v>20</v>
      </c>
      <c r="F454" s="1093" t="str">
        <f>VLOOKUP(E454,$N$13:$O$17,2,0)</f>
        <v>-</v>
      </c>
      <c r="G454" s="95"/>
      <c r="H454" s="839"/>
      <c r="I454" s="1091"/>
      <c r="J454" s="1083"/>
      <c r="K454" s="1083"/>
      <c r="L454" s="932"/>
    </row>
    <row r="455" spans="1:12" s="106" customFormat="1" ht="15.75" hidden="1" customHeight="1" outlineLevel="1">
      <c r="A455" s="932"/>
      <c r="B455" s="1086"/>
      <c r="C455" s="1095"/>
      <c r="D455" s="1091"/>
      <c r="E455" s="1091"/>
      <c r="F455" s="1093"/>
      <c r="G455" s="98"/>
      <c r="H455" s="839"/>
      <c r="I455" s="1091"/>
      <c r="J455" s="1084"/>
      <c r="K455" s="1084"/>
      <c r="L455" s="932"/>
    </row>
    <row r="456" spans="1:12" s="106" customFormat="1" ht="15.75" hidden="1" customHeight="1" outlineLevel="1">
      <c r="A456" s="932"/>
      <c r="B456" s="1087"/>
      <c r="C456" s="1096"/>
      <c r="D456" s="1092"/>
      <c r="E456" s="1092"/>
      <c r="F456" s="1094"/>
      <c r="G456" s="103"/>
      <c r="H456" s="840"/>
      <c r="I456" s="1092"/>
      <c r="J456" s="1085"/>
      <c r="K456" s="1085"/>
      <c r="L456" s="932"/>
    </row>
    <row r="457" spans="1:12" s="106" customFormat="1" ht="15.75" hidden="1" customHeight="1" outlineLevel="1">
      <c r="A457" s="932"/>
      <c r="B457" s="1086">
        <v>149</v>
      </c>
      <c r="C457" s="1095"/>
      <c r="D457" s="1091"/>
      <c r="E457" s="1091" t="s">
        <v>20</v>
      </c>
      <c r="F457" s="1093" t="str">
        <f>VLOOKUP(E457,$N$13:$O$17,2,0)</f>
        <v>-</v>
      </c>
      <c r="G457" s="95"/>
      <c r="H457" s="839"/>
      <c r="I457" s="1091"/>
      <c r="J457" s="1083"/>
      <c r="K457" s="1083"/>
      <c r="L457" s="932"/>
    </row>
    <row r="458" spans="1:12" s="106" customFormat="1" ht="15.75" hidden="1" customHeight="1" outlineLevel="1">
      <c r="A458" s="932"/>
      <c r="B458" s="1086"/>
      <c r="C458" s="1095"/>
      <c r="D458" s="1091"/>
      <c r="E458" s="1091"/>
      <c r="F458" s="1093"/>
      <c r="G458" s="98"/>
      <c r="H458" s="839"/>
      <c r="I458" s="1091"/>
      <c r="J458" s="1084"/>
      <c r="K458" s="1084"/>
      <c r="L458" s="932"/>
    </row>
    <row r="459" spans="1:12" s="106" customFormat="1" ht="15.75" hidden="1" customHeight="1" outlineLevel="1">
      <c r="A459" s="932"/>
      <c r="B459" s="1087"/>
      <c r="C459" s="1096"/>
      <c r="D459" s="1092"/>
      <c r="E459" s="1092"/>
      <c r="F459" s="1094"/>
      <c r="G459" s="103"/>
      <c r="H459" s="840"/>
      <c r="I459" s="1092"/>
      <c r="J459" s="1085"/>
      <c r="K459" s="1085"/>
      <c r="L459" s="932"/>
    </row>
    <row r="460" spans="1:12" s="106" customFormat="1" ht="15.75" hidden="1" customHeight="1" outlineLevel="1">
      <c r="A460" s="932"/>
      <c r="B460" s="1086">
        <v>150</v>
      </c>
      <c r="C460" s="1095"/>
      <c r="D460" s="1091"/>
      <c r="E460" s="1091" t="s">
        <v>20</v>
      </c>
      <c r="F460" s="1093" t="str">
        <f>VLOOKUP(E460,$N$13:$O$17,2,0)</f>
        <v>-</v>
      </c>
      <c r="G460" s="95"/>
      <c r="H460" s="839"/>
      <c r="I460" s="1091"/>
      <c r="J460" s="1083"/>
      <c r="K460" s="1083"/>
      <c r="L460" s="932"/>
    </row>
    <row r="461" spans="1:12" s="106" customFormat="1" ht="15.75" hidden="1" customHeight="1" outlineLevel="1">
      <c r="A461" s="932"/>
      <c r="B461" s="1086"/>
      <c r="C461" s="1095"/>
      <c r="D461" s="1091"/>
      <c r="E461" s="1091"/>
      <c r="F461" s="1093"/>
      <c r="G461" s="98"/>
      <c r="H461" s="839"/>
      <c r="I461" s="1091"/>
      <c r="J461" s="1084"/>
      <c r="K461" s="1084"/>
      <c r="L461" s="932"/>
    </row>
    <row r="462" spans="1:12" s="106" customFormat="1" ht="15.75" hidden="1" customHeight="1" outlineLevel="1">
      <c r="A462" s="932"/>
      <c r="B462" s="1087"/>
      <c r="C462" s="1096"/>
      <c r="D462" s="1092"/>
      <c r="E462" s="1092"/>
      <c r="F462" s="1094"/>
      <c r="G462" s="103"/>
      <c r="H462" s="840"/>
      <c r="I462" s="1092"/>
      <c r="J462" s="1085"/>
      <c r="K462" s="1085"/>
      <c r="L462" s="932"/>
    </row>
    <row r="463" spans="1:12" s="106" customFormat="1" ht="15.75" hidden="1" customHeight="1" outlineLevel="1">
      <c r="A463" s="932"/>
      <c r="B463" s="1086">
        <v>151</v>
      </c>
      <c r="C463" s="1095"/>
      <c r="D463" s="1091"/>
      <c r="E463" s="1091" t="s">
        <v>20</v>
      </c>
      <c r="F463" s="1093" t="str">
        <f>VLOOKUP(E463,$N$13:$O$17,2,0)</f>
        <v>-</v>
      </c>
      <c r="G463" s="95"/>
      <c r="H463" s="839"/>
      <c r="I463" s="1091"/>
      <c r="J463" s="1083"/>
      <c r="K463" s="1083"/>
      <c r="L463" s="932"/>
    </row>
    <row r="464" spans="1:12" s="106" customFormat="1" ht="15.75" hidden="1" customHeight="1" outlineLevel="1">
      <c r="A464" s="932"/>
      <c r="B464" s="1086"/>
      <c r="C464" s="1095"/>
      <c r="D464" s="1091"/>
      <c r="E464" s="1091"/>
      <c r="F464" s="1093"/>
      <c r="G464" s="98"/>
      <c r="H464" s="839"/>
      <c r="I464" s="1091"/>
      <c r="J464" s="1084"/>
      <c r="K464" s="1084"/>
      <c r="L464" s="932"/>
    </row>
    <row r="465" spans="1:12" s="106" customFormat="1" ht="15.75" hidden="1" customHeight="1" outlineLevel="1">
      <c r="A465" s="932"/>
      <c r="B465" s="1087"/>
      <c r="C465" s="1096"/>
      <c r="D465" s="1092"/>
      <c r="E465" s="1092"/>
      <c r="F465" s="1094"/>
      <c r="G465" s="103"/>
      <c r="H465" s="840"/>
      <c r="I465" s="1092"/>
      <c r="J465" s="1085"/>
      <c r="K465" s="1085"/>
      <c r="L465" s="932"/>
    </row>
    <row r="466" spans="1:12" s="106" customFormat="1" ht="15.75" hidden="1" customHeight="1" outlineLevel="1">
      <c r="A466" s="932"/>
      <c r="B466" s="1086">
        <v>152</v>
      </c>
      <c r="C466" s="1095"/>
      <c r="D466" s="1091"/>
      <c r="E466" s="1091" t="s">
        <v>20</v>
      </c>
      <c r="F466" s="1093" t="str">
        <f>VLOOKUP(E466,$N$13:$O$17,2,0)</f>
        <v>-</v>
      </c>
      <c r="G466" s="95"/>
      <c r="H466" s="839"/>
      <c r="I466" s="1091"/>
      <c r="J466" s="1083"/>
      <c r="K466" s="1083"/>
      <c r="L466" s="932"/>
    </row>
    <row r="467" spans="1:12" s="106" customFormat="1" ht="15.75" hidden="1" customHeight="1" outlineLevel="1">
      <c r="A467" s="932"/>
      <c r="B467" s="1086"/>
      <c r="C467" s="1095"/>
      <c r="D467" s="1091"/>
      <c r="E467" s="1091"/>
      <c r="F467" s="1093"/>
      <c r="G467" s="98"/>
      <c r="H467" s="839"/>
      <c r="I467" s="1091"/>
      <c r="J467" s="1084"/>
      <c r="K467" s="1084"/>
      <c r="L467" s="932"/>
    </row>
    <row r="468" spans="1:12" s="106" customFormat="1" ht="15.75" hidden="1" customHeight="1" outlineLevel="1">
      <c r="A468" s="932"/>
      <c r="B468" s="1087"/>
      <c r="C468" s="1096"/>
      <c r="D468" s="1092"/>
      <c r="E468" s="1092"/>
      <c r="F468" s="1094"/>
      <c r="G468" s="103"/>
      <c r="H468" s="840"/>
      <c r="I468" s="1092"/>
      <c r="J468" s="1085"/>
      <c r="K468" s="1085"/>
      <c r="L468" s="932"/>
    </row>
    <row r="469" spans="1:12" s="106" customFormat="1" ht="15.75" hidden="1" customHeight="1" outlineLevel="1">
      <c r="A469" s="932"/>
      <c r="B469" s="1086">
        <v>153</v>
      </c>
      <c r="C469" s="1095"/>
      <c r="D469" s="1091"/>
      <c r="E469" s="1091" t="s">
        <v>20</v>
      </c>
      <c r="F469" s="1093" t="str">
        <f>VLOOKUP(E469,$N$13:$O$17,2,0)</f>
        <v>-</v>
      </c>
      <c r="G469" s="95"/>
      <c r="H469" s="839"/>
      <c r="I469" s="1091"/>
      <c r="J469" s="1083"/>
      <c r="K469" s="1083"/>
      <c r="L469" s="932"/>
    </row>
    <row r="470" spans="1:12" s="106" customFormat="1" ht="15.75" hidden="1" customHeight="1" outlineLevel="1">
      <c r="A470" s="932"/>
      <c r="B470" s="1086"/>
      <c r="C470" s="1095"/>
      <c r="D470" s="1091"/>
      <c r="E470" s="1091"/>
      <c r="F470" s="1093"/>
      <c r="G470" s="98"/>
      <c r="H470" s="839"/>
      <c r="I470" s="1091"/>
      <c r="J470" s="1084"/>
      <c r="K470" s="1084"/>
      <c r="L470" s="932"/>
    </row>
    <row r="471" spans="1:12" s="106" customFormat="1" ht="15.75" hidden="1" customHeight="1" outlineLevel="1">
      <c r="A471" s="932"/>
      <c r="B471" s="1087"/>
      <c r="C471" s="1096"/>
      <c r="D471" s="1092"/>
      <c r="E471" s="1092"/>
      <c r="F471" s="1094"/>
      <c r="G471" s="103"/>
      <c r="H471" s="840"/>
      <c r="I471" s="1092"/>
      <c r="J471" s="1085"/>
      <c r="K471" s="1085"/>
      <c r="L471" s="932"/>
    </row>
    <row r="472" spans="1:12" s="106" customFormat="1" ht="15.75" hidden="1" customHeight="1" outlineLevel="1">
      <c r="A472" s="932"/>
      <c r="B472" s="1086">
        <v>154</v>
      </c>
      <c r="C472" s="1095"/>
      <c r="D472" s="1091"/>
      <c r="E472" s="1091" t="s">
        <v>20</v>
      </c>
      <c r="F472" s="1093" t="str">
        <f>VLOOKUP(E472,$N$13:$O$17,2,0)</f>
        <v>-</v>
      </c>
      <c r="G472" s="95"/>
      <c r="H472" s="839"/>
      <c r="I472" s="1091"/>
      <c r="J472" s="1083"/>
      <c r="K472" s="1083"/>
      <c r="L472" s="932"/>
    </row>
    <row r="473" spans="1:12" s="106" customFormat="1" ht="15.75" hidden="1" customHeight="1" outlineLevel="1">
      <c r="A473" s="932"/>
      <c r="B473" s="1086"/>
      <c r="C473" s="1095"/>
      <c r="D473" s="1091"/>
      <c r="E473" s="1091"/>
      <c r="F473" s="1093"/>
      <c r="G473" s="98"/>
      <c r="H473" s="839"/>
      <c r="I473" s="1091"/>
      <c r="J473" s="1084"/>
      <c r="K473" s="1084"/>
      <c r="L473" s="932"/>
    </row>
    <row r="474" spans="1:12" s="106" customFormat="1" ht="15.75" hidden="1" customHeight="1" outlineLevel="1">
      <c r="A474" s="932"/>
      <c r="B474" s="1087"/>
      <c r="C474" s="1096"/>
      <c r="D474" s="1092"/>
      <c r="E474" s="1092"/>
      <c r="F474" s="1094"/>
      <c r="G474" s="103"/>
      <c r="H474" s="840"/>
      <c r="I474" s="1092"/>
      <c r="J474" s="1085"/>
      <c r="K474" s="1085"/>
      <c r="L474" s="932"/>
    </row>
    <row r="475" spans="1:12" s="106" customFormat="1" ht="15.75" hidden="1" customHeight="1" outlineLevel="1">
      <c r="A475" s="932"/>
      <c r="B475" s="1086">
        <v>155</v>
      </c>
      <c r="C475" s="1095"/>
      <c r="D475" s="1091"/>
      <c r="E475" s="1091" t="s">
        <v>20</v>
      </c>
      <c r="F475" s="1093" t="str">
        <f>VLOOKUP(E475,$N$13:$O$17,2,0)</f>
        <v>-</v>
      </c>
      <c r="G475" s="95"/>
      <c r="H475" s="839"/>
      <c r="I475" s="1091"/>
      <c r="J475" s="1083"/>
      <c r="K475" s="1083"/>
      <c r="L475" s="932"/>
    </row>
    <row r="476" spans="1:12" s="106" customFormat="1" ht="15.75" hidden="1" customHeight="1" outlineLevel="1">
      <c r="A476" s="932"/>
      <c r="B476" s="1086"/>
      <c r="C476" s="1095"/>
      <c r="D476" s="1091"/>
      <c r="E476" s="1091"/>
      <c r="F476" s="1093"/>
      <c r="G476" s="98"/>
      <c r="H476" s="839"/>
      <c r="I476" s="1091"/>
      <c r="J476" s="1084"/>
      <c r="K476" s="1084"/>
      <c r="L476" s="932"/>
    </row>
    <row r="477" spans="1:12" s="106" customFormat="1" ht="15.75" hidden="1" customHeight="1" outlineLevel="1">
      <c r="A477" s="932"/>
      <c r="B477" s="1087"/>
      <c r="C477" s="1096"/>
      <c r="D477" s="1092"/>
      <c r="E477" s="1092"/>
      <c r="F477" s="1094"/>
      <c r="G477" s="103"/>
      <c r="H477" s="840"/>
      <c r="I477" s="1092"/>
      <c r="J477" s="1085"/>
      <c r="K477" s="1085"/>
      <c r="L477" s="932"/>
    </row>
    <row r="478" spans="1:12" s="106" customFormat="1" ht="15.75" hidden="1" customHeight="1" outlineLevel="1">
      <c r="A478" s="932"/>
      <c r="B478" s="1086">
        <v>156</v>
      </c>
      <c r="C478" s="1095"/>
      <c r="D478" s="1091"/>
      <c r="E478" s="1091" t="s">
        <v>20</v>
      </c>
      <c r="F478" s="1093" t="str">
        <f>VLOOKUP(E478,$N$13:$O$17,2,0)</f>
        <v>-</v>
      </c>
      <c r="G478" s="95"/>
      <c r="H478" s="839"/>
      <c r="I478" s="1091"/>
      <c r="J478" s="1083"/>
      <c r="K478" s="1083"/>
      <c r="L478" s="932"/>
    </row>
    <row r="479" spans="1:12" s="106" customFormat="1" ht="15.75" hidden="1" customHeight="1" outlineLevel="1">
      <c r="A479" s="932"/>
      <c r="B479" s="1086"/>
      <c r="C479" s="1095"/>
      <c r="D479" s="1091"/>
      <c r="E479" s="1091"/>
      <c r="F479" s="1093"/>
      <c r="G479" s="98"/>
      <c r="H479" s="839"/>
      <c r="I479" s="1091"/>
      <c r="J479" s="1084"/>
      <c r="K479" s="1084"/>
      <c r="L479" s="932"/>
    </row>
    <row r="480" spans="1:12" s="106" customFormat="1" ht="15.75" hidden="1" customHeight="1" outlineLevel="1">
      <c r="A480" s="932"/>
      <c r="B480" s="1087"/>
      <c r="C480" s="1096"/>
      <c r="D480" s="1092"/>
      <c r="E480" s="1092"/>
      <c r="F480" s="1094"/>
      <c r="G480" s="103"/>
      <c r="H480" s="840"/>
      <c r="I480" s="1092"/>
      <c r="J480" s="1085"/>
      <c r="K480" s="1085"/>
      <c r="L480" s="932"/>
    </row>
    <row r="481" spans="1:12" s="106" customFormat="1" ht="15.75" hidden="1" customHeight="1" outlineLevel="1">
      <c r="A481" s="932"/>
      <c r="B481" s="1086">
        <v>157</v>
      </c>
      <c r="C481" s="1095"/>
      <c r="D481" s="1091"/>
      <c r="E481" s="1091" t="s">
        <v>20</v>
      </c>
      <c r="F481" s="1093" t="str">
        <f>VLOOKUP(E481,$N$13:$O$17,2,0)</f>
        <v>-</v>
      </c>
      <c r="G481" s="95"/>
      <c r="H481" s="839"/>
      <c r="I481" s="1091"/>
      <c r="J481" s="1083"/>
      <c r="K481" s="1083"/>
      <c r="L481" s="932"/>
    </row>
    <row r="482" spans="1:12" s="106" customFormat="1" ht="15.75" hidden="1" customHeight="1" outlineLevel="1">
      <c r="A482" s="932"/>
      <c r="B482" s="1086"/>
      <c r="C482" s="1095"/>
      <c r="D482" s="1091"/>
      <c r="E482" s="1091"/>
      <c r="F482" s="1093"/>
      <c r="G482" s="98"/>
      <c r="H482" s="839"/>
      <c r="I482" s="1091"/>
      <c r="J482" s="1084"/>
      <c r="K482" s="1084"/>
      <c r="L482" s="932"/>
    </row>
    <row r="483" spans="1:12" s="106" customFormat="1" ht="15.75" hidden="1" customHeight="1" outlineLevel="1">
      <c r="A483" s="932"/>
      <c r="B483" s="1087"/>
      <c r="C483" s="1096"/>
      <c r="D483" s="1092"/>
      <c r="E483" s="1092"/>
      <c r="F483" s="1094"/>
      <c r="G483" s="103"/>
      <c r="H483" s="840"/>
      <c r="I483" s="1092"/>
      <c r="J483" s="1085"/>
      <c r="K483" s="1085"/>
      <c r="L483" s="932"/>
    </row>
    <row r="484" spans="1:12" s="106" customFormat="1" ht="15.75" hidden="1" customHeight="1" outlineLevel="1">
      <c r="A484" s="932"/>
      <c r="B484" s="1086">
        <v>158</v>
      </c>
      <c r="C484" s="1095"/>
      <c r="D484" s="1091"/>
      <c r="E484" s="1091" t="s">
        <v>20</v>
      </c>
      <c r="F484" s="1093" t="str">
        <f>VLOOKUP(E484,$N$13:$O$17,2,0)</f>
        <v>-</v>
      </c>
      <c r="G484" s="95"/>
      <c r="H484" s="839"/>
      <c r="I484" s="1091"/>
      <c r="J484" s="1083"/>
      <c r="K484" s="1083"/>
      <c r="L484" s="932"/>
    </row>
    <row r="485" spans="1:12" s="106" customFormat="1" ht="15.75" hidden="1" customHeight="1" outlineLevel="1">
      <c r="A485" s="932"/>
      <c r="B485" s="1086"/>
      <c r="C485" s="1095"/>
      <c r="D485" s="1091"/>
      <c r="E485" s="1091"/>
      <c r="F485" s="1093"/>
      <c r="G485" s="98"/>
      <c r="H485" s="839"/>
      <c r="I485" s="1091"/>
      <c r="J485" s="1084"/>
      <c r="K485" s="1084"/>
      <c r="L485" s="932"/>
    </row>
    <row r="486" spans="1:12" s="106" customFormat="1" ht="15.75" hidden="1" customHeight="1" outlineLevel="1">
      <c r="A486" s="932"/>
      <c r="B486" s="1087"/>
      <c r="C486" s="1096"/>
      <c r="D486" s="1092"/>
      <c r="E486" s="1092"/>
      <c r="F486" s="1094"/>
      <c r="G486" s="103"/>
      <c r="H486" s="840"/>
      <c r="I486" s="1092"/>
      <c r="J486" s="1085"/>
      <c r="K486" s="1085"/>
      <c r="L486" s="932"/>
    </row>
    <row r="487" spans="1:12" s="106" customFormat="1" ht="15.75" hidden="1" customHeight="1" outlineLevel="1">
      <c r="A487" s="932"/>
      <c r="B487" s="1086">
        <v>159</v>
      </c>
      <c r="C487" s="1095"/>
      <c r="D487" s="1091"/>
      <c r="E487" s="1091" t="s">
        <v>20</v>
      </c>
      <c r="F487" s="1093" t="str">
        <f>VLOOKUP(E487,$N$13:$O$17,2,0)</f>
        <v>-</v>
      </c>
      <c r="G487" s="95"/>
      <c r="H487" s="839"/>
      <c r="I487" s="1091"/>
      <c r="J487" s="1083"/>
      <c r="K487" s="1083"/>
      <c r="L487" s="932"/>
    </row>
    <row r="488" spans="1:12" s="106" customFormat="1" ht="15.75" hidden="1" customHeight="1" outlineLevel="1">
      <c r="A488" s="932"/>
      <c r="B488" s="1086"/>
      <c r="C488" s="1095"/>
      <c r="D488" s="1091"/>
      <c r="E488" s="1091"/>
      <c r="F488" s="1093"/>
      <c r="G488" s="98"/>
      <c r="H488" s="839"/>
      <c r="I488" s="1091"/>
      <c r="J488" s="1084"/>
      <c r="K488" s="1084"/>
      <c r="L488" s="932"/>
    </row>
    <row r="489" spans="1:12" s="106" customFormat="1" ht="15.75" hidden="1" customHeight="1" outlineLevel="1">
      <c r="A489" s="932"/>
      <c r="B489" s="1087"/>
      <c r="C489" s="1096"/>
      <c r="D489" s="1092"/>
      <c r="E489" s="1092"/>
      <c r="F489" s="1094"/>
      <c r="G489" s="103"/>
      <c r="H489" s="840"/>
      <c r="I489" s="1092"/>
      <c r="J489" s="1085"/>
      <c r="K489" s="1085"/>
      <c r="L489" s="932"/>
    </row>
    <row r="490" spans="1:12" s="106" customFormat="1" ht="15.75" hidden="1" customHeight="1" outlineLevel="1">
      <c r="A490" s="932"/>
      <c r="B490" s="1086">
        <v>160</v>
      </c>
      <c r="C490" s="1095"/>
      <c r="D490" s="1091"/>
      <c r="E490" s="1091" t="s">
        <v>20</v>
      </c>
      <c r="F490" s="1093" t="str">
        <f>VLOOKUP(E490,$N$13:$O$17,2,0)</f>
        <v>-</v>
      </c>
      <c r="G490" s="95"/>
      <c r="H490" s="839"/>
      <c r="I490" s="1091"/>
      <c r="J490" s="1083"/>
      <c r="K490" s="1083"/>
      <c r="L490" s="932"/>
    </row>
    <row r="491" spans="1:12" s="106" customFormat="1" ht="15.75" hidden="1" customHeight="1" outlineLevel="1">
      <c r="A491" s="932"/>
      <c r="B491" s="1086"/>
      <c r="C491" s="1095"/>
      <c r="D491" s="1091"/>
      <c r="E491" s="1091"/>
      <c r="F491" s="1093"/>
      <c r="G491" s="98"/>
      <c r="H491" s="839"/>
      <c r="I491" s="1091"/>
      <c r="J491" s="1084"/>
      <c r="K491" s="1084"/>
      <c r="L491" s="932"/>
    </row>
    <row r="492" spans="1:12" s="106" customFormat="1" ht="15.75" hidden="1" customHeight="1" outlineLevel="1">
      <c r="A492" s="932"/>
      <c r="B492" s="1087"/>
      <c r="C492" s="1096"/>
      <c r="D492" s="1092"/>
      <c r="E492" s="1092"/>
      <c r="F492" s="1094"/>
      <c r="G492" s="103"/>
      <c r="H492" s="840"/>
      <c r="I492" s="1092"/>
      <c r="J492" s="1085"/>
      <c r="K492" s="1085"/>
      <c r="L492" s="932"/>
    </row>
    <row r="493" spans="1:12" s="106" customFormat="1" ht="15.75" hidden="1" customHeight="1" outlineLevel="1">
      <c r="A493" s="932"/>
      <c r="B493" s="1086">
        <v>161</v>
      </c>
      <c r="C493" s="1095"/>
      <c r="D493" s="1091"/>
      <c r="E493" s="1091" t="s">
        <v>20</v>
      </c>
      <c r="F493" s="1093" t="str">
        <f>VLOOKUP(E493,$N$13:$O$17,2,0)</f>
        <v>-</v>
      </c>
      <c r="G493" s="95"/>
      <c r="H493" s="839"/>
      <c r="I493" s="1091"/>
      <c r="J493" s="1083"/>
      <c r="K493" s="1083"/>
      <c r="L493" s="932"/>
    </row>
    <row r="494" spans="1:12" s="106" customFormat="1" ht="15.75" hidden="1" customHeight="1" outlineLevel="1">
      <c r="A494" s="932"/>
      <c r="B494" s="1086"/>
      <c r="C494" s="1095"/>
      <c r="D494" s="1091"/>
      <c r="E494" s="1091"/>
      <c r="F494" s="1093"/>
      <c r="G494" s="98"/>
      <c r="H494" s="839"/>
      <c r="I494" s="1091"/>
      <c r="J494" s="1084"/>
      <c r="K494" s="1084"/>
      <c r="L494" s="932"/>
    </row>
    <row r="495" spans="1:12" s="106" customFormat="1" ht="15.75" hidden="1" customHeight="1" outlineLevel="1">
      <c r="A495" s="932"/>
      <c r="B495" s="1087"/>
      <c r="C495" s="1096"/>
      <c r="D495" s="1092"/>
      <c r="E495" s="1092"/>
      <c r="F495" s="1094"/>
      <c r="G495" s="103"/>
      <c r="H495" s="840"/>
      <c r="I495" s="1092"/>
      <c r="J495" s="1085"/>
      <c r="K495" s="1085"/>
      <c r="L495" s="932"/>
    </row>
    <row r="496" spans="1:12" s="106" customFormat="1" ht="15.75" hidden="1" customHeight="1" outlineLevel="1">
      <c r="A496" s="932"/>
      <c r="B496" s="1086">
        <v>162</v>
      </c>
      <c r="C496" s="1095"/>
      <c r="D496" s="1091"/>
      <c r="E496" s="1091" t="s">
        <v>20</v>
      </c>
      <c r="F496" s="1093" t="str">
        <f>VLOOKUP(E496,$N$13:$O$17,2,0)</f>
        <v>-</v>
      </c>
      <c r="G496" s="95"/>
      <c r="H496" s="839"/>
      <c r="I496" s="1091"/>
      <c r="J496" s="1083"/>
      <c r="K496" s="1083"/>
      <c r="L496" s="932"/>
    </row>
    <row r="497" spans="1:12" s="106" customFormat="1" ht="15.75" hidden="1" customHeight="1" outlineLevel="1">
      <c r="A497" s="932"/>
      <c r="B497" s="1086"/>
      <c r="C497" s="1095"/>
      <c r="D497" s="1091"/>
      <c r="E497" s="1091"/>
      <c r="F497" s="1093"/>
      <c r="G497" s="98"/>
      <c r="H497" s="839"/>
      <c r="I497" s="1091"/>
      <c r="J497" s="1084"/>
      <c r="K497" s="1084"/>
      <c r="L497" s="932"/>
    </row>
    <row r="498" spans="1:12" s="106" customFormat="1" ht="15.75" hidden="1" customHeight="1" outlineLevel="1">
      <c r="A498" s="932"/>
      <c r="B498" s="1087"/>
      <c r="C498" s="1096"/>
      <c r="D498" s="1092"/>
      <c r="E498" s="1092"/>
      <c r="F498" s="1094"/>
      <c r="G498" s="103"/>
      <c r="H498" s="840"/>
      <c r="I498" s="1092"/>
      <c r="J498" s="1085"/>
      <c r="K498" s="1085"/>
      <c r="L498" s="932"/>
    </row>
    <row r="499" spans="1:12" s="106" customFormat="1" ht="15.75" hidden="1" customHeight="1" outlineLevel="1">
      <c r="A499" s="932"/>
      <c r="B499" s="1086">
        <v>163</v>
      </c>
      <c r="C499" s="1095"/>
      <c r="D499" s="1091"/>
      <c r="E499" s="1091" t="s">
        <v>20</v>
      </c>
      <c r="F499" s="1093" t="str">
        <f>VLOOKUP(E499,$N$13:$O$17,2,0)</f>
        <v>-</v>
      </c>
      <c r="G499" s="95"/>
      <c r="H499" s="839"/>
      <c r="I499" s="1091"/>
      <c r="J499" s="1083"/>
      <c r="K499" s="1083"/>
      <c r="L499" s="932"/>
    </row>
    <row r="500" spans="1:12" s="106" customFormat="1" ht="15.75" hidden="1" customHeight="1" outlineLevel="1">
      <c r="A500" s="932"/>
      <c r="B500" s="1086"/>
      <c r="C500" s="1095"/>
      <c r="D500" s="1091"/>
      <c r="E500" s="1091"/>
      <c r="F500" s="1093"/>
      <c r="G500" s="98"/>
      <c r="H500" s="839"/>
      <c r="I500" s="1091"/>
      <c r="J500" s="1084"/>
      <c r="K500" s="1084"/>
      <c r="L500" s="932"/>
    </row>
    <row r="501" spans="1:12" s="106" customFormat="1" ht="15.75" hidden="1" customHeight="1" outlineLevel="1">
      <c r="A501" s="932"/>
      <c r="B501" s="1087"/>
      <c r="C501" s="1096"/>
      <c r="D501" s="1092"/>
      <c r="E501" s="1092"/>
      <c r="F501" s="1094"/>
      <c r="G501" s="103"/>
      <c r="H501" s="840"/>
      <c r="I501" s="1092"/>
      <c r="J501" s="1085"/>
      <c r="K501" s="1085"/>
      <c r="L501" s="932"/>
    </row>
    <row r="502" spans="1:12" s="106" customFormat="1" ht="15.75" hidden="1" customHeight="1" outlineLevel="1">
      <c r="A502" s="932"/>
      <c r="B502" s="1086">
        <v>164</v>
      </c>
      <c r="C502" s="1095"/>
      <c r="D502" s="1091"/>
      <c r="E502" s="1091" t="s">
        <v>20</v>
      </c>
      <c r="F502" s="1093" t="str">
        <f>VLOOKUP(E502,$N$13:$O$17,2,0)</f>
        <v>-</v>
      </c>
      <c r="G502" s="95"/>
      <c r="H502" s="839"/>
      <c r="I502" s="1091"/>
      <c r="J502" s="1083"/>
      <c r="K502" s="1083"/>
      <c r="L502" s="932"/>
    </row>
    <row r="503" spans="1:12" s="106" customFormat="1" ht="15.75" hidden="1" customHeight="1" outlineLevel="1">
      <c r="A503" s="932"/>
      <c r="B503" s="1086"/>
      <c r="C503" s="1095"/>
      <c r="D503" s="1091"/>
      <c r="E503" s="1091"/>
      <c r="F503" s="1093"/>
      <c r="G503" s="98"/>
      <c r="H503" s="839"/>
      <c r="I503" s="1091"/>
      <c r="J503" s="1084"/>
      <c r="K503" s="1084"/>
      <c r="L503" s="932"/>
    </row>
    <row r="504" spans="1:12" s="106" customFormat="1" ht="15.75" hidden="1" customHeight="1" outlineLevel="1">
      <c r="A504" s="932"/>
      <c r="B504" s="1087"/>
      <c r="C504" s="1096"/>
      <c r="D504" s="1092"/>
      <c r="E504" s="1092"/>
      <c r="F504" s="1094"/>
      <c r="G504" s="103"/>
      <c r="H504" s="840"/>
      <c r="I504" s="1092"/>
      <c r="J504" s="1085"/>
      <c r="K504" s="1085"/>
      <c r="L504" s="932"/>
    </row>
    <row r="505" spans="1:12" s="106" customFormat="1" ht="15.75" hidden="1" customHeight="1" outlineLevel="1">
      <c r="A505" s="932"/>
      <c r="B505" s="1086">
        <v>165</v>
      </c>
      <c r="C505" s="1095"/>
      <c r="D505" s="1091"/>
      <c r="E505" s="1091" t="s">
        <v>20</v>
      </c>
      <c r="F505" s="1093" t="str">
        <f>VLOOKUP(E505,$N$13:$O$17,2,0)</f>
        <v>-</v>
      </c>
      <c r="G505" s="95"/>
      <c r="H505" s="839"/>
      <c r="I505" s="1091"/>
      <c r="J505" s="1083"/>
      <c r="K505" s="1083"/>
      <c r="L505" s="932"/>
    </row>
    <row r="506" spans="1:12" s="106" customFormat="1" ht="15.75" hidden="1" customHeight="1" outlineLevel="1">
      <c r="A506" s="932"/>
      <c r="B506" s="1086"/>
      <c r="C506" s="1095"/>
      <c r="D506" s="1091"/>
      <c r="E506" s="1091"/>
      <c r="F506" s="1093"/>
      <c r="G506" s="98"/>
      <c r="H506" s="839"/>
      <c r="I506" s="1091"/>
      <c r="J506" s="1084"/>
      <c r="K506" s="1084"/>
      <c r="L506" s="932"/>
    </row>
    <row r="507" spans="1:12" s="106" customFormat="1" ht="15.75" hidden="1" customHeight="1" outlineLevel="1">
      <c r="A507" s="932"/>
      <c r="B507" s="1087"/>
      <c r="C507" s="1096"/>
      <c r="D507" s="1092"/>
      <c r="E507" s="1092"/>
      <c r="F507" s="1094"/>
      <c r="G507" s="103"/>
      <c r="H507" s="840"/>
      <c r="I507" s="1092"/>
      <c r="J507" s="1085"/>
      <c r="K507" s="1085"/>
      <c r="L507" s="932"/>
    </row>
    <row r="508" spans="1:12" s="106" customFormat="1" ht="15.75" hidden="1" customHeight="1" outlineLevel="1">
      <c r="A508" s="932"/>
      <c r="B508" s="1086">
        <v>166</v>
      </c>
      <c r="C508" s="1095"/>
      <c r="D508" s="1091"/>
      <c r="E508" s="1091" t="s">
        <v>20</v>
      </c>
      <c r="F508" s="1093" t="str">
        <f>VLOOKUP(E508,$N$13:$O$17,2,0)</f>
        <v>-</v>
      </c>
      <c r="G508" s="95"/>
      <c r="H508" s="839"/>
      <c r="I508" s="1091"/>
      <c r="J508" s="1083"/>
      <c r="K508" s="1083"/>
      <c r="L508" s="932"/>
    </row>
    <row r="509" spans="1:12" s="106" customFormat="1" ht="15.75" hidden="1" customHeight="1" outlineLevel="1">
      <c r="A509" s="932"/>
      <c r="B509" s="1086"/>
      <c r="C509" s="1095"/>
      <c r="D509" s="1091"/>
      <c r="E509" s="1091"/>
      <c r="F509" s="1093"/>
      <c r="G509" s="98"/>
      <c r="H509" s="839"/>
      <c r="I509" s="1091"/>
      <c r="J509" s="1084"/>
      <c r="K509" s="1084"/>
      <c r="L509" s="932"/>
    </row>
    <row r="510" spans="1:12" s="106" customFormat="1" ht="15.75" hidden="1" customHeight="1" outlineLevel="1">
      <c r="A510" s="932"/>
      <c r="B510" s="1087"/>
      <c r="C510" s="1096"/>
      <c r="D510" s="1092"/>
      <c r="E510" s="1092"/>
      <c r="F510" s="1094"/>
      <c r="G510" s="103"/>
      <c r="H510" s="840"/>
      <c r="I510" s="1092"/>
      <c r="J510" s="1085"/>
      <c r="K510" s="1085"/>
      <c r="L510" s="932"/>
    </row>
    <row r="511" spans="1:12" s="106" customFormat="1" ht="15.75" hidden="1" customHeight="1" outlineLevel="1">
      <c r="A511" s="932"/>
      <c r="B511" s="1086">
        <v>167</v>
      </c>
      <c r="C511" s="1095"/>
      <c r="D511" s="1091"/>
      <c r="E511" s="1091" t="s">
        <v>20</v>
      </c>
      <c r="F511" s="1093" t="str">
        <f>VLOOKUP(E511,$N$13:$O$17,2,0)</f>
        <v>-</v>
      </c>
      <c r="G511" s="95"/>
      <c r="H511" s="839"/>
      <c r="I511" s="1091"/>
      <c r="J511" s="1083"/>
      <c r="K511" s="1083"/>
      <c r="L511" s="932"/>
    </row>
    <row r="512" spans="1:12" s="106" customFormat="1" ht="15.75" hidden="1" customHeight="1" outlineLevel="1">
      <c r="A512" s="932"/>
      <c r="B512" s="1086"/>
      <c r="C512" s="1095"/>
      <c r="D512" s="1091"/>
      <c r="E512" s="1091"/>
      <c r="F512" s="1093"/>
      <c r="G512" s="98"/>
      <c r="H512" s="839"/>
      <c r="I512" s="1091"/>
      <c r="J512" s="1084"/>
      <c r="K512" s="1084"/>
      <c r="L512" s="932"/>
    </row>
    <row r="513" spans="1:12" s="106" customFormat="1" ht="15.75" hidden="1" customHeight="1" outlineLevel="1">
      <c r="A513" s="932"/>
      <c r="B513" s="1087"/>
      <c r="C513" s="1096"/>
      <c r="D513" s="1092"/>
      <c r="E513" s="1092"/>
      <c r="F513" s="1094"/>
      <c r="G513" s="103"/>
      <c r="H513" s="840"/>
      <c r="I513" s="1092"/>
      <c r="J513" s="1085"/>
      <c r="K513" s="1085"/>
      <c r="L513" s="932"/>
    </row>
    <row r="514" spans="1:12" s="106" customFormat="1" ht="15.75" hidden="1" customHeight="1" outlineLevel="1">
      <c r="A514" s="932"/>
      <c r="B514" s="1086">
        <v>168</v>
      </c>
      <c r="C514" s="1095"/>
      <c r="D514" s="1091"/>
      <c r="E514" s="1091" t="s">
        <v>20</v>
      </c>
      <c r="F514" s="1093" t="str">
        <f>VLOOKUP(E514,$N$13:$O$17,2,0)</f>
        <v>-</v>
      </c>
      <c r="G514" s="95"/>
      <c r="H514" s="839"/>
      <c r="I514" s="1091"/>
      <c r="J514" s="1083"/>
      <c r="K514" s="1083"/>
      <c r="L514" s="932"/>
    </row>
    <row r="515" spans="1:12" s="106" customFormat="1" ht="15.75" hidden="1" customHeight="1" outlineLevel="1">
      <c r="A515" s="932"/>
      <c r="B515" s="1086"/>
      <c r="C515" s="1095"/>
      <c r="D515" s="1091"/>
      <c r="E515" s="1091"/>
      <c r="F515" s="1093"/>
      <c r="G515" s="98"/>
      <c r="H515" s="839"/>
      <c r="I515" s="1091"/>
      <c r="J515" s="1084"/>
      <c r="K515" s="1084"/>
      <c r="L515" s="932"/>
    </row>
    <row r="516" spans="1:12" s="106" customFormat="1" ht="15.75" hidden="1" customHeight="1" outlineLevel="1">
      <c r="A516" s="932"/>
      <c r="B516" s="1087"/>
      <c r="C516" s="1096"/>
      <c r="D516" s="1092"/>
      <c r="E516" s="1092"/>
      <c r="F516" s="1094"/>
      <c r="G516" s="103"/>
      <c r="H516" s="840"/>
      <c r="I516" s="1092"/>
      <c r="J516" s="1085"/>
      <c r="K516" s="1085"/>
      <c r="L516" s="932"/>
    </row>
    <row r="517" spans="1:12" s="106" customFormat="1" ht="15.75" hidden="1" customHeight="1" outlineLevel="1">
      <c r="A517" s="932"/>
      <c r="B517" s="1086">
        <v>169</v>
      </c>
      <c r="C517" s="1095"/>
      <c r="D517" s="1091"/>
      <c r="E517" s="1091" t="s">
        <v>20</v>
      </c>
      <c r="F517" s="1093" t="str">
        <f>VLOOKUP(E517,$N$13:$O$17,2,0)</f>
        <v>-</v>
      </c>
      <c r="G517" s="95"/>
      <c r="H517" s="839"/>
      <c r="I517" s="1091"/>
      <c r="J517" s="1083"/>
      <c r="K517" s="1083"/>
      <c r="L517" s="932"/>
    </row>
    <row r="518" spans="1:12" s="106" customFormat="1" ht="15.75" hidden="1" customHeight="1" outlineLevel="1">
      <c r="A518" s="932"/>
      <c r="B518" s="1086"/>
      <c r="C518" s="1095"/>
      <c r="D518" s="1091"/>
      <c r="E518" s="1091"/>
      <c r="F518" s="1093"/>
      <c r="G518" s="98"/>
      <c r="H518" s="839"/>
      <c r="I518" s="1091"/>
      <c r="J518" s="1084"/>
      <c r="K518" s="1084"/>
      <c r="L518" s="932"/>
    </row>
    <row r="519" spans="1:12" s="106" customFormat="1" ht="15.75" hidden="1" customHeight="1" outlineLevel="1">
      <c r="A519" s="932"/>
      <c r="B519" s="1087"/>
      <c r="C519" s="1096"/>
      <c r="D519" s="1092"/>
      <c r="E519" s="1092"/>
      <c r="F519" s="1094"/>
      <c r="G519" s="103"/>
      <c r="H519" s="840"/>
      <c r="I519" s="1092"/>
      <c r="J519" s="1085"/>
      <c r="K519" s="1085"/>
      <c r="L519" s="932"/>
    </row>
    <row r="520" spans="1:12" s="106" customFormat="1" ht="15.75" hidden="1" customHeight="1" outlineLevel="1">
      <c r="A520" s="932"/>
      <c r="B520" s="1086">
        <v>170</v>
      </c>
      <c r="C520" s="1095"/>
      <c r="D520" s="1091"/>
      <c r="E520" s="1091" t="s">
        <v>20</v>
      </c>
      <c r="F520" s="1093" t="str">
        <f>VLOOKUP(E520,$N$13:$O$17,2,0)</f>
        <v>-</v>
      </c>
      <c r="G520" s="95"/>
      <c r="H520" s="839"/>
      <c r="I520" s="1091"/>
      <c r="J520" s="1083"/>
      <c r="K520" s="1083"/>
      <c r="L520" s="932"/>
    </row>
    <row r="521" spans="1:12" s="106" customFormat="1" ht="15.75" hidden="1" customHeight="1" outlineLevel="1">
      <c r="A521" s="932"/>
      <c r="B521" s="1086"/>
      <c r="C521" s="1095"/>
      <c r="D521" s="1091"/>
      <c r="E521" s="1091"/>
      <c r="F521" s="1093"/>
      <c r="G521" s="98"/>
      <c r="H521" s="839"/>
      <c r="I521" s="1091"/>
      <c r="J521" s="1084"/>
      <c r="K521" s="1084"/>
      <c r="L521" s="932"/>
    </row>
    <row r="522" spans="1:12" s="106" customFormat="1" ht="15.75" hidden="1" customHeight="1" outlineLevel="1">
      <c r="A522" s="932"/>
      <c r="B522" s="1087"/>
      <c r="C522" s="1096"/>
      <c r="D522" s="1092"/>
      <c r="E522" s="1092"/>
      <c r="F522" s="1094"/>
      <c r="G522" s="103"/>
      <c r="H522" s="840"/>
      <c r="I522" s="1092"/>
      <c r="J522" s="1085"/>
      <c r="K522" s="1085"/>
      <c r="L522" s="932"/>
    </row>
    <row r="523" spans="1:12" s="106" customFormat="1" ht="15.75" hidden="1" customHeight="1" outlineLevel="1">
      <c r="A523" s="932"/>
      <c r="B523" s="1086">
        <v>171</v>
      </c>
      <c r="C523" s="1095"/>
      <c r="D523" s="1091"/>
      <c r="E523" s="1091" t="s">
        <v>20</v>
      </c>
      <c r="F523" s="1093" t="str">
        <f>VLOOKUP(E523,$N$13:$O$17,2,0)</f>
        <v>-</v>
      </c>
      <c r="G523" s="95"/>
      <c r="H523" s="839"/>
      <c r="I523" s="1091"/>
      <c r="J523" s="1083"/>
      <c r="K523" s="1083"/>
      <c r="L523" s="932"/>
    </row>
    <row r="524" spans="1:12" s="106" customFormat="1" ht="15.75" hidden="1" customHeight="1" outlineLevel="1">
      <c r="A524" s="932"/>
      <c r="B524" s="1086"/>
      <c r="C524" s="1095"/>
      <c r="D524" s="1091"/>
      <c r="E524" s="1091"/>
      <c r="F524" s="1093"/>
      <c r="G524" s="98"/>
      <c r="H524" s="839"/>
      <c r="I524" s="1091"/>
      <c r="J524" s="1084"/>
      <c r="K524" s="1084"/>
      <c r="L524" s="932"/>
    </row>
    <row r="525" spans="1:12" s="106" customFormat="1" ht="15.75" hidden="1" customHeight="1" outlineLevel="1">
      <c r="A525" s="932"/>
      <c r="B525" s="1087"/>
      <c r="C525" s="1096"/>
      <c r="D525" s="1092"/>
      <c r="E525" s="1092"/>
      <c r="F525" s="1094"/>
      <c r="G525" s="103"/>
      <c r="H525" s="840"/>
      <c r="I525" s="1092"/>
      <c r="J525" s="1085"/>
      <c r="K525" s="1085"/>
      <c r="L525" s="932"/>
    </row>
    <row r="526" spans="1:12" s="106" customFormat="1" ht="15.75" hidden="1" customHeight="1" outlineLevel="1">
      <c r="A526" s="932"/>
      <c r="B526" s="1086">
        <v>172</v>
      </c>
      <c r="C526" s="1095"/>
      <c r="D526" s="1091"/>
      <c r="E526" s="1091" t="s">
        <v>20</v>
      </c>
      <c r="F526" s="1093" t="str">
        <f>VLOOKUP(E526,$N$13:$O$17,2,0)</f>
        <v>-</v>
      </c>
      <c r="G526" s="95"/>
      <c r="H526" s="839"/>
      <c r="I526" s="1091"/>
      <c r="J526" s="1083"/>
      <c r="K526" s="1083"/>
      <c r="L526" s="932"/>
    </row>
    <row r="527" spans="1:12" s="106" customFormat="1" ht="15.75" hidden="1" customHeight="1" outlineLevel="1">
      <c r="A527" s="932"/>
      <c r="B527" s="1086"/>
      <c r="C527" s="1095"/>
      <c r="D527" s="1091"/>
      <c r="E527" s="1091"/>
      <c r="F527" s="1093"/>
      <c r="G527" s="98"/>
      <c r="H527" s="839"/>
      <c r="I527" s="1091"/>
      <c r="J527" s="1084"/>
      <c r="K527" s="1084"/>
      <c r="L527" s="932"/>
    </row>
    <row r="528" spans="1:12" s="106" customFormat="1" ht="15.75" hidden="1" customHeight="1" outlineLevel="1">
      <c r="A528" s="932"/>
      <c r="B528" s="1087"/>
      <c r="C528" s="1096"/>
      <c r="D528" s="1092"/>
      <c r="E528" s="1092"/>
      <c r="F528" s="1094"/>
      <c r="G528" s="103"/>
      <c r="H528" s="840"/>
      <c r="I528" s="1092"/>
      <c r="J528" s="1085"/>
      <c r="K528" s="1085"/>
      <c r="L528" s="932"/>
    </row>
    <row r="529" spans="1:12" s="106" customFormat="1" ht="15.75" hidden="1" customHeight="1" outlineLevel="1">
      <c r="A529" s="932"/>
      <c r="B529" s="1086">
        <v>173</v>
      </c>
      <c r="C529" s="1095"/>
      <c r="D529" s="1091"/>
      <c r="E529" s="1091" t="s">
        <v>20</v>
      </c>
      <c r="F529" s="1093" t="str">
        <f>VLOOKUP(E529,$N$13:$O$17,2,0)</f>
        <v>-</v>
      </c>
      <c r="G529" s="95"/>
      <c r="H529" s="839"/>
      <c r="I529" s="1091"/>
      <c r="J529" s="1083"/>
      <c r="K529" s="1083"/>
      <c r="L529" s="932"/>
    </row>
    <row r="530" spans="1:12" s="106" customFormat="1" ht="15.75" hidden="1" customHeight="1" outlineLevel="1">
      <c r="A530" s="932"/>
      <c r="B530" s="1086"/>
      <c r="C530" s="1095"/>
      <c r="D530" s="1091"/>
      <c r="E530" s="1091"/>
      <c r="F530" s="1093"/>
      <c r="G530" s="98"/>
      <c r="H530" s="839"/>
      <c r="I530" s="1091"/>
      <c r="J530" s="1084"/>
      <c r="K530" s="1084"/>
      <c r="L530" s="932"/>
    </row>
    <row r="531" spans="1:12" s="106" customFormat="1" ht="15.75" hidden="1" customHeight="1" outlineLevel="1">
      <c r="A531" s="932"/>
      <c r="B531" s="1087"/>
      <c r="C531" s="1096"/>
      <c r="D531" s="1092"/>
      <c r="E531" s="1092"/>
      <c r="F531" s="1094"/>
      <c r="G531" s="103"/>
      <c r="H531" s="840"/>
      <c r="I531" s="1092"/>
      <c r="J531" s="1085"/>
      <c r="K531" s="1085"/>
      <c r="L531" s="932"/>
    </row>
    <row r="532" spans="1:12" s="106" customFormat="1" ht="15.75" hidden="1" customHeight="1" outlineLevel="1">
      <c r="A532" s="932"/>
      <c r="B532" s="1086">
        <v>174</v>
      </c>
      <c r="C532" s="1095"/>
      <c r="D532" s="1091"/>
      <c r="E532" s="1091" t="s">
        <v>20</v>
      </c>
      <c r="F532" s="1093" t="str">
        <f>VLOOKUP(E532,$N$13:$O$17,2,0)</f>
        <v>-</v>
      </c>
      <c r="G532" s="95"/>
      <c r="H532" s="839"/>
      <c r="I532" s="1091"/>
      <c r="J532" s="1083"/>
      <c r="K532" s="1083"/>
      <c r="L532" s="932"/>
    </row>
    <row r="533" spans="1:12" s="106" customFormat="1" ht="15.75" hidden="1" customHeight="1" outlineLevel="1">
      <c r="A533" s="932"/>
      <c r="B533" s="1086"/>
      <c r="C533" s="1095"/>
      <c r="D533" s="1091"/>
      <c r="E533" s="1091"/>
      <c r="F533" s="1093"/>
      <c r="G533" s="98"/>
      <c r="H533" s="839"/>
      <c r="I533" s="1091"/>
      <c r="J533" s="1084"/>
      <c r="K533" s="1084"/>
      <c r="L533" s="932"/>
    </row>
    <row r="534" spans="1:12" s="106" customFormat="1" ht="15.75" hidden="1" customHeight="1" outlineLevel="1">
      <c r="A534" s="932"/>
      <c r="B534" s="1087"/>
      <c r="C534" s="1096"/>
      <c r="D534" s="1092"/>
      <c r="E534" s="1092"/>
      <c r="F534" s="1094"/>
      <c r="G534" s="103"/>
      <c r="H534" s="840"/>
      <c r="I534" s="1092"/>
      <c r="J534" s="1085"/>
      <c r="K534" s="1085"/>
      <c r="L534" s="932"/>
    </row>
    <row r="535" spans="1:12" s="106" customFormat="1" ht="15.75" hidden="1" customHeight="1" outlineLevel="1">
      <c r="A535" s="932"/>
      <c r="B535" s="1086">
        <v>175</v>
      </c>
      <c r="C535" s="1095"/>
      <c r="D535" s="1091"/>
      <c r="E535" s="1091" t="s">
        <v>20</v>
      </c>
      <c r="F535" s="1093" t="str">
        <f>VLOOKUP(E535,$N$13:$O$17,2,0)</f>
        <v>-</v>
      </c>
      <c r="G535" s="95"/>
      <c r="H535" s="839"/>
      <c r="I535" s="1091"/>
      <c r="J535" s="1083"/>
      <c r="K535" s="1083"/>
      <c r="L535" s="932"/>
    </row>
    <row r="536" spans="1:12" s="106" customFormat="1" ht="15.75" hidden="1" customHeight="1" outlineLevel="1">
      <c r="A536" s="932"/>
      <c r="B536" s="1086"/>
      <c r="C536" s="1095"/>
      <c r="D536" s="1091"/>
      <c r="E536" s="1091"/>
      <c r="F536" s="1093"/>
      <c r="G536" s="98"/>
      <c r="H536" s="839"/>
      <c r="I536" s="1091"/>
      <c r="J536" s="1084"/>
      <c r="K536" s="1084"/>
      <c r="L536" s="932"/>
    </row>
    <row r="537" spans="1:12" s="106" customFormat="1" ht="15.75" hidden="1" customHeight="1" outlineLevel="1">
      <c r="A537" s="932"/>
      <c r="B537" s="1087"/>
      <c r="C537" s="1096"/>
      <c r="D537" s="1092"/>
      <c r="E537" s="1092"/>
      <c r="F537" s="1094"/>
      <c r="G537" s="103"/>
      <c r="H537" s="840"/>
      <c r="I537" s="1092"/>
      <c r="J537" s="1085"/>
      <c r="K537" s="1085"/>
      <c r="L537" s="932"/>
    </row>
    <row r="538" spans="1:12" s="106" customFormat="1" ht="15.75" hidden="1" customHeight="1" outlineLevel="1">
      <c r="A538" s="932"/>
      <c r="B538" s="1086">
        <v>176</v>
      </c>
      <c r="C538" s="1095"/>
      <c r="D538" s="1091"/>
      <c r="E538" s="1091" t="s">
        <v>20</v>
      </c>
      <c r="F538" s="1093" t="str">
        <f>VLOOKUP(E538,$N$13:$O$17,2,0)</f>
        <v>-</v>
      </c>
      <c r="G538" s="95"/>
      <c r="H538" s="839"/>
      <c r="I538" s="1091"/>
      <c r="J538" s="1083"/>
      <c r="K538" s="1083"/>
      <c r="L538" s="932"/>
    </row>
    <row r="539" spans="1:12" s="106" customFormat="1" ht="15.75" hidden="1" customHeight="1" outlineLevel="1">
      <c r="A539" s="932"/>
      <c r="B539" s="1086"/>
      <c r="C539" s="1095"/>
      <c r="D539" s="1091"/>
      <c r="E539" s="1091"/>
      <c r="F539" s="1093"/>
      <c r="G539" s="98"/>
      <c r="H539" s="839"/>
      <c r="I539" s="1091"/>
      <c r="J539" s="1084"/>
      <c r="K539" s="1084"/>
      <c r="L539" s="932"/>
    </row>
    <row r="540" spans="1:12" s="106" customFormat="1" ht="15.75" hidden="1" customHeight="1" outlineLevel="1">
      <c r="A540" s="932"/>
      <c r="B540" s="1087"/>
      <c r="C540" s="1096"/>
      <c r="D540" s="1092"/>
      <c r="E540" s="1092"/>
      <c r="F540" s="1094"/>
      <c r="G540" s="103"/>
      <c r="H540" s="840"/>
      <c r="I540" s="1092"/>
      <c r="J540" s="1085"/>
      <c r="K540" s="1085"/>
      <c r="L540" s="932"/>
    </row>
    <row r="541" spans="1:12" s="106" customFormat="1" ht="15.75" hidden="1" customHeight="1" outlineLevel="1">
      <c r="A541" s="932"/>
      <c r="B541" s="1086">
        <v>177</v>
      </c>
      <c r="C541" s="1095"/>
      <c r="D541" s="1091"/>
      <c r="E541" s="1091" t="s">
        <v>20</v>
      </c>
      <c r="F541" s="1093" t="str">
        <f>VLOOKUP(E541,$N$13:$O$17,2,0)</f>
        <v>-</v>
      </c>
      <c r="G541" s="95"/>
      <c r="H541" s="839"/>
      <c r="I541" s="1091"/>
      <c r="J541" s="1083"/>
      <c r="K541" s="1083"/>
      <c r="L541" s="932"/>
    </row>
    <row r="542" spans="1:12" s="106" customFormat="1" ht="15.75" hidden="1" customHeight="1" outlineLevel="1">
      <c r="A542" s="932"/>
      <c r="B542" s="1086"/>
      <c r="C542" s="1095"/>
      <c r="D542" s="1091"/>
      <c r="E542" s="1091"/>
      <c r="F542" s="1093"/>
      <c r="G542" s="98"/>
      <c r="H542" s="839"/>
      <c r="I542" s="1091"/>
      <c r="J542" s="1084"/>
      <c r="K542" s="1084"/>
      <c r="L542" s="932"/>
    </row>
    <row r="543" spans="1:12" s="106" customFormat="1" ht="15.75" hidden="1" customHeight="1" outlineLevel="1">
      <c r="A543" s="932"/>
      <c r="B543" s="1087"/>
      <c r="C543" s="1096"/>
      <c r="D543" s="1092"/>
      <c r="E543" s="1092"/>
      <c r="F543" s="1094"/>
      <c r="G543" s="103"/>
      <c r="H543" s="840"/>
      <c r="I543" s="1092"/>
      <c r="J543" s="1085"/>
      <c r="K543" s="1085"/>
      <c r="L543" s="932"/>
    </row>
    <row r="544" spans="1:12" s="106" customFormat="1" ht="15.75" hidden="1" customHeight="1" outlineLevel="1">
      <c r="A544" s="932"/>
      <c r="B544" s="1086">
        <v>178</v>
      </c>
      <c r="C544" s="1095"/>
      <c r="D544" s="1091"/>
      <c r="E544" s="1091" t="s">
        <v>20</v>
      </c>
      <c r="F544" s="1093" t="str">
        <f>VLOOKUP(E544,$N$13:$O$17,2,0)</f>
        <v>-</v>
      </c>
      <c r="G544" s="95"/>
      <c r="H544" s="839"/>
      <c r="I544" s="1091"/>
      <c r="J544" s="1083"/>
      <c r="K544" s="1083"/>
      <c r="L544" s="932"/>
    </row>
    <row r="545" spans="1:12" s="106" customFormat="1" ht="15.75" hidden="1" customHeight="1" outlineLevel="1">
      <c r="A545" s="932"/>
      <c r="B545" s="1086"/>
      <c r="C545" s="1095"/>
      <c r="D545" s="1091"/>
      <c r="E545" s="1091"/>
      <c r="F545" s="1093"/>
      <c r="G545" s="98"/>
      <c r="H545" s="839"/>
      <c r="I545" s="1091"/>
      <c r="J545" s="1084"/>
      <c r="K545" s="1084"/>
      <c r="L545" s="932"/>
    </row>
    <row r="546" spans="1:12" s="106" customFormat="1" ht="15.75" hidden="1" customHeight="1" outlineLevel="1">
      <c r="A546" s="932"/>
      <c r="B546" s="1087"/>
      <c r="C546" s="1096"/>
      <c r="D546" s="1092"/>
      <c r="E546" s="1092"/>
      <c r="F546" s="1094"/>
      <c r="G546" s="103"/>
      <c r="H546" s="840"/>
      <c r="I546" s="1092"/>
      <c r="J546" s="1085"/>
      <c r="K546" s="1085"/>
      <c r="L546" s="932"/>
    </row>
    <row r="547" spans="1:12" s="106" customFormat="1" ht="15.75" hidden="1" customHeight="1" outlineLevel="1">
      <c r="A547" s="932"/>
      <c r="B547" s="1086">
        <v>179</v>
      </c>
      <c r="C547" s="1095"/>
      <c r="D547" s="1091"/>
      <c r="E547" s="1091" t="s">
        <v>20</v>
      </c>
      <c r="F547" s="1093" t="str">
        <f>VLOOKUP(E547,$N$13:$O$17,2,0)</f>
        <v>-</v>
      </c>
      <c r="G547" s="95"/>
      <c r="H547" s="839"/>
      <c r="I547" s="1091"/>
      <c r="J547" s="1083"/>
      <c r="K547" s="1083"/>
      <c r="L547" s="932"/>
    </row>
    <row r="548" spans="1:12" s="106" customFormat="1" ht="15.75" hidden="1" customHeight="1" outlineLevel="1">
      <c r="A548" s="932"/>
      <c r="B548" s="1086"/>
      <c r="C548" s="1095"/>
      <c r="D548" s="1091"/>
      <c r="E548" s="1091"/>
      <c r="F548" s="1093"/>
      <c r="G548" s="98"/>
      <c r="H548" s="839"/>
      <c r="I548" s="1091"/>
      <c r="J548" s="1084"/>
      <c r="K548" s="1084"/>
      <c r="L548" s="932"/>
    </row>
    <row r="549" spans="1:12" s="106" customFormat="1" ht="15.75" hidden="1" customHeight="1" outlineLevel="1">
      <c r="A549" s="932"/>
      <c r="B549" s="1087"/>
      <c r="C549" s="1096"/>
      <c r="D549" s="1092"/>
      <c r="E549" s="1092"/>
      <c r="F549" s="1094"/>
      <c r="G549" s="103"/>
      <c r="H549" s="840"/>
      <c r="I549" s="1092"/>
      <c r="J549" s="1085"/>
      <c r="K549" s="1085"/>
      <c r="L549" s="932"/>
    </row>
    <row r="550" spans="1:12" s="106" customFormat="1" ht="15.75" hidden="1" customHeight="1" outlineLevel="1">
      <c r="A550" s="932"/>
      <c r="B550" s="1086">
        <v>180</v>
      </c>
      <c r="C550" s="1095"/>
      <c r="D550" s="1091"/>
      <c r="E550" s="1091" t="s">
        <v>20</v>
      </c>
      <c r="F550" s="1093" t="str">
        <f>VLOOKUP(E550,$N$13:$O$17,2,0)</f>
        <v>-</v>
      </c>
      <c r="G550" s="95"/>
      <c r="H550" s="839"/>
      <c r="I550" s="1091"/>
      <c r="J550" s="1083"/>
      <c r="K550" s="1083"/>
      <c r="L550" s="932"/>
    </row>
    <row r="551" spans="1:12" s="106" customFormat="1" ht="15.75" hidden="1" customHeight="1" outlineLevel="1">
      <c r="A551" s="932"/>
      <c r="B551" s="1086"/>
      <c r="C551" s="1095"/>
      <c r="D551" s="1091"/>
      <c r="E551" s="1091"/>
      <c r="F551" s="1093"/>
      <c r="G551" s="98"/>
      <c r="H551" s="839"/>
      <c r="I551" s="1091"/>
      <c r="J551" s="1084"/>
      <c r="K551" s="1084"/>
      <c r="L551" s="932"/>
    </row>
    <row r="552" spans="1:12" s="106" customFormat="1" ht="15.75" hidden="1" customHeight="1" outlineLevel="1">
      <c r="A552" s="932"/>
      <c r="B552" s="1087"/>
      <c r="C552" s="1096"/>
      <c r="D552" s="1092"/>
      <c r="E552" s="1092"/>
      <c r="F552" s="1094"/>
      <c r="G552" s="103"/>
      <c r="H552" s="840"/>
      <c r="I552" s="1092"/>
      <c r="J552" s="1085"/>
      <c r="K552" s="1085"/>
      <c r="L552" s="932"/>
    </row>
    <row r="553" spans="1:12" s="106" customFormat="1" ht="15.75" hidden="1" customHeight="1" outlineLevel="1">
      <c r="A553" s="932"/>
      <c r="B553" s="1086">
        <v>181</v>
      </c>
      <c r="C553" s="1095"/>
      <c r="D553" s="1091"/>
      <c r="E553" s="1091" t="s">
        <v>20</v>
      </c>
      <c r="F553" s="1093" t="str">
        <f>VLOOKUP(E553,$N$13:$O$17,2,0)</f>
        <v>-</v>
      </c>
      <c r="G553" s="95"/>
      <c r="H553" s="839"/>
      <c r="I553" s="1091"/>
      <c r="J553" s="1083"/>
      <c r="K553" s="1083"/>
      <c r="L553" s="932"/>
    </row>
    <row r="554" spans="1:12" s="106" customFormat="1" ht="15.75" hidden="1" customHeight="1" outlineLevel="1">
      <c r="A554" s="932"/>
      <c r="B554" s="1086"/>
      <c r="C554" s="1095"/>
      <c r="D554" s="1091"/>
      <c r="E554" s="1091"/>
      <c r="F554" s="1093"/>
      <c r="G554" s="98"/>
      <c r="H554" s="839"/>
      <c r="I554" s="1091"/>
      <c r="J554" s="1084"/>
      <c r="K554" s="1084"/>
      <c r="L554" s="932"/>
    </row>
    <row r="555" spans="1:12" s="106" customFormat="1" ht="15.75" hidden="1" customHeight="1" outlineLevel="1">
      <c r="A555" s="932"/>
      <c r="B555" s="1087"/>
      <c r="C555" s="1096"/>
      <c r="D555" s="1092"/>
      <c r="E555" s="1092"/>
      <c r="F555" s="1094"/>
      <c r="G555" s="103"/>
      <c r="H555" s="840"/>
      <c r="I555" s="1092"/>
      <c r="J555" s="1085"/>
      <c r="K555" s="1085"/>
      <c r="L555" s="932"/>
    </row>
    <row r="556" spans="1:12" s="106" customFormat="1" ht="15.75" hidden="1" customHeight="1" outlineLevel="1">
      <c r="A556" s="932"/>
      <c r="B556" s="1086">
        <v>182</v>
      </c>
      <c r="C556" s="1095"/>
      <c r="D556" s="1091"/>
      <c r="E556" s="1091" t="s">
        <v>20</v>
      </c>
      <c r="F556" s="1093" t="str">
        <f>VLOOKUP(E556,$N$13:$O$17,2,0)</f>
        <v>-</v>
      </c>
      <c r="G556" s="95"/>
      <c r="H556" s="839"/>
      <c r="I556" s="1091"/>
      <c r="J556" s="1083"/>
      <c r="K556" s="1083"/>
      <c r="L556" s="932"/>
    </row>
    <row r="557" spans="1:12" s="106" customFormat="1" ht="15.75" hidden="1" customHeight="1" outlineLevel="1">
      <c r="A557" s="932"/>
      <c r="B557" s="1086"/>
      <c r="C557" s="1095"/>
      <c r="D557" s="1091"/>
      <c r="E557" s="1091"/>
      <c r="F557" s="1093"/>
      <c r="G557" s="98"/>
      <c r="H557" s="839"/>
      <c r="I557" s="1091"/>
      <c r="J557" s="1084"/>
      <c r="K557" s="1084"/>
      <c r="L557" s="932"/>
    </row>
    <row r="558" spans="1:12" s="106" customFormat="1" ht="15.75" hidden="1" customHeight="1" outlineLevel="1">
      <c r="A558" s="932"/>
      <c r="B558" s="1087"/>
      <c r="C558" s="1096"/>
      <c r="D558" s="1092"/>
      <c r="E558" s="1092"/>
      <c r="F558" s="1094"/>
      <c r="G558" s="103"/>
      <c r="H558" s="840"/>
      <c r="I558" s="1092"/>
      <c r="J558" s="1085"/>
      <c r="K558" s="1085"/>
      <c r="L558" s="932"/>
    </row>
    <row r="559" spans="1:12" s="106" customFormat="1" ht="15.75" hidden="1" customHeight="1" outlineLevel="1">
      <c r="A559" s="932"/>
      <c r="B559" s="1086">
        <v>183</v>
      </c>
      <c r="C559" s="1095"/>
      <c r="D559" s="1091"/>
      <c r="E559" s="1091" t="s">
        <v>20</v>
      </c>
      <c r="F559" s="1093" t="str">
        <f>VLOOKUP(E559,$N$13:$O$17,2,0)</f>
        <v>-</v>
      </c>
      <c r="G559" s="95"/>
      <c r="H559" s="839"/>
      <c r="I559" s="1091"/>
      <c r="J559" s="1083"/>
      <c r="K559" s="1083"/>
      <c r="L559" s="932"/>
    </row>
    <row r="560" spans="1:12" s="106" customFormat="1" ht="15.75" hidden="1" customHeight="1" outlineLevel="1">
      <c r="A560" s="932"/>
      <c r="B560" s="1086"/>
      <c r="C560" s="1095"/>
      <c r="D560" s="1091"/>
      <c r="E560" s="1091"/>
      <c r="F560" s="1093"/>
      <c r="G560" s="98"/>
      <c r="H560" s="839"/>
      <c r="I560" s="1091"/>
      <c r="J560" s="1084"/>
      <c r="K560" s="1084"/>
      <c r="L560" s="932"/>
    </row>
    <row r="561" spans="1:12" s="106" customFormat="1" ht="15.75" hidden="1" customHeight="1" outlineLevel="1">
      <c r="A561" s="932"/>
      <c r="B561" s="1087"/>
      <c r="C561" s="1096"/>
      <c r="D561" s="1092"/>
      <c r="E561" s="1092"/>
      <c r="F561" s="1094"/>
      <c r="G561" s="103"/>
      <c r="H561" s="840"/>
      <c r="I561" s="1092"/>
      <c r="J561" s="1085"/>
      <c r="K561" s="1085"/>
      <c r="L561" s="932"/>
    </row>
    <row r="562" spans="1:12" s="106" customFormat="1" ht="15.75" hidden="1" customHeight="1" outlineLevel="1">
      <c r="A562" s="932"/>
      <c r="B562" s="1086">
        <v>184</v>
      </c>
      <c r="C562" s="1095"/>
      <c r="D562" s="1091"/>
      <c r="E562" s="1091" t="s">
        <v>20</v>
      </c>
      <c r="F562" s="1093" t="str">
        <f>VLOOKUP(E562,$N$13:$O$17,2,0)</f>
        <v>-</v>
      </c>
      <c r="G562" s="95"/>
      <c r="H562" s="839"/>
      <c r="I562" s="1091"/>
      <c r="J562" s="1083"/>
      <c r="K562" s="1083"/>
      <c r="L562" s="932"/>
    </row>
    <row r="563" spans="1:12" s="106" customFormat="1" ht="15.75" hidden="1" customHeight="1" outlineLevel="1">
      <c r="A563" s="932"/>
      <c r="B563" s="1086"/>
      <c r="C563" s="1095"/>
      <c r="D563" s="1091"/>
      <c r="E563" s="1091"/>
      <c r="F563" s="1093"/>
      <c r="G563" s="98"/>
      <c r="H563" s="839"/>
      <c r="I563" s="1091"/>
      <c r="J563" s="1084"/>
      <c r="K563" s="1084"/>
      <c r="L563" s="932"/>
    </row>
    <row r="564" spans="1:12" s="106" customFormat="1" ht="15.75" hidden="1" customHeight="1" outlineLevel="1">
      <c r="A564" s="932"/>
      <c r="B564" s="1087"/>
      <c r="C564" s="1096"/>
      <c r="D564" s="1092"/>
      <c r="E564" s="1092"/>
      <c r="F564" s="1094"/>
      <c r="G564" s="103"/>
      <c r="H564" s="840"/>
      <c r="I564" s="1092"/>
      <c r="J564" s="1085"/>
      <c r="K564" s="1085"/>
      <c r="L564" s="932"/>
    </row>
    <row r="565" spans="1:12" s="106" customFormat="1" ht="15.75" hidden="1" customHeight="1" outlineLevel="1">
      <c r="A565" s="932"/>
      <c r="B565" s="1086">
        <v>185</v>
      </c>
      <c r="C565" s="1095"/>
      <c r="D565" s="1091"/>
      <c r="E565" s="1091" t="s">
        <v>20</v>
      </c>
      <c r="F565" s="1093" t="str">
        <f>VLOOKUP(E565,$N$13:$O$17,2,0)</f>
        <v>-</v>
      </c>
      <c r="G565" s="95"/>
      <c r="H565" s="839"/>
      <c r="I565" s="1091"/>
      <c r="J565" s="1083"/>
      <c r="K565" s="1083"/>
      <c r="L565" s="932"/>
    </row>
    <row r="566" spans="1:12" s="106" customFormat="1" ht="15.75" hidden="1" customHeight="1" outlineLevel="1">
      <c r="A566" s="932"/>
      <c r="B566" s="1086"/>
      <c r="C566" s="1095"/>
      <c r="D566" s="1091"/>
      <c r="E566" s="1091"/>
      <c r="F566" s="1093"/>
      <c r="G566" s="98"/>
      <c r="H566" s="839"/>
      <c r="I566" s="1091"/>
      <c r="J566" s="1084"/>
      <c r="K566" s="1084"/>
      <c r="L566" s="932"/>
    </row>
    <row r="567" spans="1:12" s="106" customFormat="1" ht="15.75" hidden="1" customHeight="1" outlineLevel="1">
      <c r="A567" s="932"/>
      <c r="B567" s="1087"/>
      <c r="C567" s="1096"/>
      <c r="D567" s="1092"/>
      <c r="E567" s="1092"/>
      <c r="F567" s="1094"/>
      <c r="G567" s="103"/>
      <c r="H567" s="840"/>
      <c r="I567" s="1092"/>
      <c r="J567" s="1085"/>
      <c r="K567" s="1085"/>
      <c r="L567" s="932"/>
    </row>
    <row r="568" spans="1:12" s="106" customFormat="1" ht="15.75" hidden="1" customHeight="1" outlineLevel="1">
      <c r="A568" s="932"/>
      <c r="B568" s="1086">
        <v>186</v>
      </c>
      <c r="C568" s="1095"/>
      <c r="D568" s="1091"/>
      <c r="E568" s="1091" t="s">
        <v>20</v>
      </c>
      <c r="F568" s="1093" t="str">
        <f>VLOOKUP(E568,$N$13:$O$17,2,0)</f>
        <v>-</v>
      </c>
      <c r="G568" s="95"/>
      <c r="H568" s="839"/>
      <c r="I568" s="1091"/>
      <c r="J568" s="1083"/>
      <c r="K568" s="1083"/>
      <c r="L568" s="932"/>
    </row>
    <row r="569" spans="1:12" s="106" customFormat="1" ht="15.75" hidden="1" customHeight="1" outlineLevel="1">
      <c r="A569" s="932"/>
      <c r="B569" s="1086"/>
      <c r="C569" s="1095"/>
      <c r="D569" s="1091"/>
      <c r="E569" s="1091"/>
      <c r="F569" s="1093"/>
      <c r="G569" s="98"/>
      <c r="H569" s="839"/>
      <c r="I569" s="1091"/>
      <c r="J569" s="1084"/>
      <c r="K569" s="1084"/>
      <c r="L569" s="932"/>
    </row>
    <row r="570" spans="1:12" s="106" customFormat="1" ht="15.75" hidden="1" customHeight="1" outlineLevel="1">
      <c r="A570" s="932"/>
      <c r="B570" s="1087"/>
      <c r="C570" s="1096"/>
      <c r="D570" s="1092"/>
      <c r="E570" s="1092"/>
      <c r="F570" s="1094"/>
      <c r="G570" s="103"/>
      <c r="H570" s="840"/>
      <c r="I570" s="1092"/>
      <c r="J570" s="1085"/>
      <c r="K570" s="1085"/>
      <c r="L570" s="932"/>
    </row>
    <row r="571" spans="1:12" s="106" customFormat="1" ht="15.75" hidden="1" customHeight="1" outlineLevel="1">
      <c r="A571" s="932"/>
      <c r="B571" s="1086">
        <v>187</v>
      </c>
      <c r="C571" s="1095"/>
      <c r="D571" s="1091"/>
      <c r="E571" s="1091" t="s">
        <v>20</v>
      </c>
      <c r="F571" s="1093" t="str">
        <f>VLOOKUP(E571,$N$13:$O$17,2,0)</f>
        <v>-</v>
      </c>
      <c r="G571" s="95"/>
      <c r="H571" s="839"/>
      <c r="I571" s="1091"/>
      <c r="J571" s="1083"/>
      <c r="K571" s="1083"/>
      <c r="L571" s="932"/>
    </row>
    <row r="572" spans="1:12" s="106" customFormat="1" ht="15.75" hidden="1" customHeight="1" outlineLevel="1">
      <c r="A572" s="932"/>
      <c r="B572" s="1086"/>
      <c r="C572" s="1095"/>
      <c r="D572" s="1091"/>
      <c r="E572" s="1091"/>
      <c r="F572" s="1093"/>
      <c r="G572" s="98"/>
      <c r="H572" s="839"/>
      <c r="I572" s="1091"/>
      <c r="J572" s="1084"/>
      <c r="K572" s="1084"/>
      <c r="L572" s="932"/>
    </row>
    <row r="573" spans="1:12" s="106" customFormat="1" ht="15.75" hidden="1" customHeight="1" outlineLevel="1">
      <c r="A573" s="932"/>
      <c r="B573" s="1087"/>
      <c r="C573" s="1096"/>
      <c r="D573" s="1092"/>
      <c r="E573" s="1092"/>
      <c r="F573" s="1094"/>
      <c r="G573" s="103"/>
      <c r="H573" s="840"/>
      <c r="I573" s="1092"/>
      <c r="J573" s="1085"/>
      <c r="K573" s="1085"/>
      <c r="L573" s="932"/>
    </row>
    <row r="574" spans="1:12" s="106" customFormat="1" ht="15.75" hidden="1" customHeight="1" outlineLevel="1">
      <c r="A574" s="932"/>
      <c r="B574" s="1086">
        <v>188</v>
      </c>
      <c r="C574" s="1095"/>
      <c r="D574" s="1091"/>
      <c r="E574" s="1091" t="s">
        <v>20</v>
      </c>
      <c r="F574" s="1093" t="str">
        <f>VLOOKUP(E574,$N$13:$O$17,2,0)</f>
        <v>-</v>
      </c>
      <c r="G574" s="95"/>
      <c r="H574" s="839"/>
      <c r="I574" s="1091"/>
      <c r="J574" s="1083"/>
      <c r="K574" s="1083"/>
      <c r="L574" s="932"/>
    </row>
    <row r="575" spans="1:12" s="106" customFormat="1" ht="15.75" hidden="1" customHeight="1" outlineLevel="1">
      <c r="A575" s="932"/>
      <c r="B575" s="1086"/>
      <c r="C575" s="1095"/>
      <c r="D575" s="1091"/>
      <c r="E575" s="1091"/>
      <c r="F575" s="1093"/>
      <c r="G575" s="98"/>
      <c r="H575" s="839"/>
      <c r="I575" s="1091"/>
      <c r="J575" s="1084"/>
      <c r="K575" s="1084"/>
      <c r="L575" s="932"/>
    </row>
    <row r="576" spans="1:12" s="106" customFormat="1" ht="15.75" hidden="1" customHeight="1" outlineLevel="1">
      <c r="A576" s="932"/>
      <c r="B576" s="1087"/>
      <c r="C576" s="1096"/>
      <c r="D576" s="1092"/>
      <c r="E576" s="1092"/>
      <c r="F576" s="1094"/>
      <c r="G576" s="103"/>
      <c r="H576" s="840"/>
      <c r="I576" s="1092"/>
      <c r="J576" s="1085"/>
      <c r="K576" s="1085"/>
      <c r="L576" s="932"/>
    </row>
    <row r="577" spans="1:12" s="106" customFormat="1" ht="15.75" hidden="1" customHeight="1" outlineLevel="1">
      <c r="A577" s="932"/>
      <c r="B577" s="1086">
        <v>189</v>
      </c>
      <c r="C577" s="1095"/>
      <c r="D577" s="1091"/>
      <c r="E577" s="1091" t="s">
        <v>20</v>
      </c>
      <c r="F577" s="1093" t="str">
        <f>VLOOKUP(E577,$N$13:$O$17,2,0)</f>
        <v>-</v>
      </c>
      <c r="G577" s="95"/>
      <c r="H577" s="839"/>
      <c r="I577" s="1091"/>
      <c r="J577" s="1083"/>
      <c r="K577" s="1083"/>
      <c r="L577" s="932"/>
    </row>
    <row r="578" spans="1:12" s="106" customFormat="1" ht="15.75" hidden="1" customHeight="1" outlineLevel="1">
      <c r="A578" s="932"/>
      <c r="B578" s="1086"/>
      <c r="C578" s="1095"/>
      <c r="D578" s="1091"/>
      <c r="E578" s="1091"/>
      <c r="F578" s="1093"/>
      <c r="G578" s="98"/>
      <c r="H578" s="839"/>
      <c r="I578" s="1091"/>
      <c r="J578" s="1084"/>
      <c r="K578" s="1084"/>
      <c r="L578" s="932"/>
    </row>
    <row r="579" spans="1:12" s="106" customFormat="1" ht="15.75" hidden="1" customHeight="1" outlineLevel="1">
      <c r="A579" s="932"/>
      <c r="B579" s="1087"/>
      <c r="C579" s="1096"/>
      <c r="D579" s="1092"/>
      <c r="E579" s="1092"/>
      <c r="F579" s="1094"/>
      <c r="G579" s="103"/>
      <c r="H579" s="840"/>
      <c r="I579" s="1092"/>
      <c r="J579" s="1085"/>
      <c r="K579" s="1085"/>
      <c r="L579" s="932"/>
    </row>
    <row r="580" spans="1:12" s="106" customFormat="1" ht="15.75" hidden="1" customHeight="1" outlineLevel="1">
      <c r="A580" s="932"/>
      <c r="B580" s="1086">
        <v>190</v>
      </c>
      <c r="C580" s="1095"/>
      <c r="D580" s="1091"/>
      <c r="E580" s="1091" t="s">
        <v>20</v>
      </c>
      <c r="F580" s="1093" t="str">
        <f>VLOOKUP(E580,$N$13:$O$17,2,0)</f>
        <v>-</v>
      </c>
      <c r="G580" s="95"/>
      <c r="H580" s="839"/>
      <c r="I580" s="1091"/>
      <c r="J580" s="1083"/>
      <c r="K580" s="1083"/>
      <c r="L580" s="932"/>
    </row>
    <row r="581" spans="1:12" s="106" customFormat="1" ht="15.75" hidden="1" customHeight="1" outlineLevel="1">
      <c r="A581" s="932"/>
      <c r="B581" s="1086"/>
      <c r="C581" s="1095"/>
      <c r="D581" s="1091"/>
      <c r="E581" s="1091"/>
      <c r="F581" s="1093"/>
      <c r="G581" s="98"/>
      <c r="H581" s="839"/>
      <c r="I581" s="1091"/>
      <c r="J581" s="1084"/>
      <c r="K581" s="1084"/>
      <c r="L581" s="932"/>
    </row>
    <row r="582" spans="1:12" s="106" customFormat="1" ht="15.75" hidden="1" customHeight="1" outlineLevel="1">
      <c r="A582" s="932"/>
      <c r="B582" s="1087"/>
      <c r="C582" s="1096"/>
      <c r="D582" s="1092"/>
      <c r="E582" s="1092"/>
      <c r="F582" s="1094"/>
      <c r="G582" s="103"/>
      <c r="H582" s="840"/>
      <c r="I582" s="1092"/>
      <c r="J582" s="1085"/>
      <c r="K582" s="1085"/>
      <c r="L582" s="932"/>
    </row>
    <row r="583" spans="1:12" s="106" customFormat="1" ht="15.75" hidden="1" customHeight="1" outlineLevel="1">
      <c r="A583" s="932"/>
      <c r="B583" s="1086">
        <v>191</v>
      </c>
      <c r="C583" s="1095"/>
      <c r="D583" s="1091"/>
      <c r="E583" s="1091" t="s">
        <v>20</v>
      </c>
      <c r="F583" s="1093" t="str">
        <f>VLOOKUP(E583,$N$13:$O$17,2,0)</f>
        <v>-</v>
      </c>
      <c r="G583" s="95"/>
      <c r="H583" s="839"/>
      <c r="I583" s="1091"/>
      <c r="J583" s="1083"/>
      <c r="K583" s="1083"/>
      <c r="L583" s="932"/>
    </row>
    <row r="584" spans="1:12" s="106" customFormat="1" ht="15.75" hidden="1" customHeight="1" outlineLevel="1">
      <c r="A584" s="932"/>
      <c r="B584" s="1086"/>
      <c r="C584" s="1095"/>
      <c r="D584" s="1091"/>
      <c r="E584" s="1091"/>
      <c r="F584" s="1093"/>
      <c r="G584" s="98"/>
      <c r="H584" s="839"/>
      <c r="I584" s="1091"/>
      <c r="J584" s="1084"/>
      <c r="K584" s="1084"/>
      <c r="L584" s="932"/>
    </row>
    <row r="585" spans="1:12" s="106" customFormat="1" ht="15.75" hidden="1" customHeight="1" outlineLevel="1">
      <c r="A585" s="932"/>
      <c r="B585" s="1087"/>
      <c r="C585" s="1096"/>
      <c r="D585" s="1092"/>
      <c r="E585" s="1092"/>
      <c r="F585" s="1094"/>
      <c r="G585" s="103"/>
      <c r="H585" s="840"/>
      <c r="I585" s="1092"/>
      <c r="J585" s="1085"/>
      <c r="K585" s="1085"/>
      <c r="L585" s="932"/>
    </row>
    <row r="586" spans="1:12" s="106" customFormat="1" ht="15.75" hidden="1" customHeight="1" outlineLevel="1">
      <c r="A586" s="932"/>
      <c r="B586" s="1086">
        <v>192</v>
      </c>
      <c r="C586" s="1095"/>
      <c r="D586" s="1091"/>
      <c r="E586" s="1091" t="s">
        <v>20</v>
      </c>
      <c r="F586" s="1093" t="str">
        <f>VLOOKUP(E586,$N$13:$O$17,2,0)</f>
        <v>-</v>
      </c>
      <c r="G586" s="95"/>
      <c r="H586" s="839"/>
      <c r="I586" s="1091"/>
      <c r="J586" s="1083"/>
      <c r="K586" s="1083"/>
      <c r="L586" s="932"/>
    </row>
    <row r="587" spans="1:12" s="106" customFormat="1" ht="15.75" hidden="1" customHeight="1" outlineLevel="1">
      <c r="A587" s="932"/>
      <c r="B587" s="1086"/>
      <c r="C587" s="1095"/>
      <c r="D587" s="1091"/>
      <c r="E587" s="1091"/>
      <c r="F587" s="1093"/>
      <c r="G587" s="98"/>
      <c r="H587" s="839"/>
      <c r="I587" s="1091"/>
      <c r="J587" s="1084"/>
      <c r="K587" s="1084"/>
      <c r="L587" s="932"/>
    </row>
    <row r="588" spans="1:12" s="106" customFormat="1" ht="15.75" hidden="1" customHeight="1" outlineLevel="1">
      <c r="A588" s="932"/>
      <c r="B588" s="1087"/>
      <c r="C588" s="1096"/>
      <c r="D588" s="1092"/>
      <c r="E588" s="1092"/>
      <c r="F588" s="1094"/>
      <c r="G588" s="103"/>
      <c r="H588" s="840"/>
      <c r="I588" s="1092"/>
      <c r="J588" s="1085"/>
      <c r="K588" s="1085"/>
      <c r="L588" s="932"/>
    </row>
    <row r="589" spans="1:12" s="106" customFormat="1" ht="15.75" hidden="1" customHeight="1" outlineLevel="1">
      <c r="A589" s="932"/>
      <c r="B589" s="1086">
        <v>193</v>
      </c>
      <c r="C589" s="1095"/>
      <c r="D589" s="1091"/>
      <c r="E589" s="1091" t="s">
        <v>20</v>
      </c>
      <c r="F589" s="1093" t="str">
        <f>VLOOKUP(E589,$N$13:$O$17,2,0)</f>
        <v>-</v>
      </c>
      <c r="G589" s="95"/>
      <c r="H589" s="839"/>
      <c r="I589" s="1091"/>
      <c r="J589" s="1083"/>
      <c r="K589" s="1083"/>
      <c r="L589" s="932"/>
    </row>
    <row r="590" spans="1:12" s="106" customFormat="1" ht="15.75" hidden="1" customHeight="1" outlineLevel="1">
      <c r="A590" s="932"/>
      <c r="B590" s="1086"/>
      <c r="C590" s="1095"/>
      <c r="D590" s="1091"/>
      <c r="E590" s="1091"/>
      <c r="F590" s="1093"/>
      <c r="G590" s="98"/>
      <c r="H590" s="839"/>
      <c r="I590" s="1091"/>
      <c r="J590" s="1084"/>
      <c r="K590" s="1084"/>
      <c r="L590" s="932"/>
    </row>
    <row r="591" spans="1:12" s="106" customFormat="1" ht="15.75" hidden="1" customHeight="1" outlineLevel="1">
      <c r="A591" s="932"/>
      <c r="B591" s="1087"/>
      <c r="C591" s="1096"/>
      <c r="D591" s="1092"/>
      <c r="E591" s="1092"/>
      <c r="F591" s="1094"/>
      <c r="G591" s="103"/>
      <c r="H591" s="840"/>
      <c r="I591" s="1092"/>
      <c r="J591" s="1085"/>
      <c r="K591" s="1085"/>
      <c r="L591" s="932"/>
    </row>
    <row r="592" spans="1:12" s="106" customFormat="1" ht="15.75" hidden="1" customHeight="1" outlineLevel="1">
      <c r="A592" s="932"/>
      <c r="B592" s="1086">
        <v>194</v>
      </c>
      <c r="C592" s="1095"/>
      <c r="D592" s="1091"/>
      <c r="E592" s="1091" t="s">
        <v>20</v>
      </c>
      <c r="F592" s="1093" t="str">
        <f>VLOOKUP(E592,$N$13:$O$17,2,0)</f>
        <v>-</v>
      </c>
      <c r="G592" s="95"/>
      <c r="H592" s="839"/>
      <c r="I592" s="1091"/>
      <c r="J592" s="1083"/>
      <c r="K592" s="1083"/>
      <c r="L592" s="932"/>
    </row>
    <row r="593" spans="1:12" s="106" customFormat="1" ht="15.75" hidden="1" customHeight="1" outlineLevel="1">
      <c r="A593" s="932"/>
      <c r="B593" s="1086"/>
      <c r="C593" s="1095"/>
      <c r="D593" s="1091"/>
      <c r="E593" s="1091"/>
      <c r="F593" s="1093"/>
      <c r="G593" s="98"/>
      <c r="H593" s="839"/>
      <c r="I593" s="1091"/>
      <c r="J593" s="1084"/>
      <c r="K593" s="1084"/>
      <c r="L593" s="932"/>
    </row>
    <row r="594" spans="1:12" s="106" customFormat="1" ht="15.75" hidden="1" customHeight="1" outlineLevel="1">
      <c r="A594" s="932"/>
      <c r="B594" s="1087"/>
      <c r="C594" s="1096"/>
      <c r="D594" s="1092"/>
      <c r="E594" s="1092"/>
      <c r="F594" s="1094"/>
      <c r="G594" s="103"/>
      <c r="H594" s="840"/>
      <c r="I594" s="1092"/>
      <c r="J594" s="1085"/>
      <c r="K594" s="1085"/>
      <c r="L594" s="932"/>
    </row>
    <row r="595" spans="1:12" s="106" customFormat="1" ht="15.75" hidden="1" customHeight="1" outlineLevel="1">
      <c r="A595" s="932"/>
      <c r="B595" s="1086">
        <v>195</v>
      </c>
      <c r="C595" s="1095"/>
      <c r="D595" s="1091"/>
      <c r="E595" s="1091" t="s">
        <v>20</v>
      </c>
      <c r="F595" s="1093" t="str">
        <f>VLOOKUP(E595,$N$13:$O$17,2,0)</f>
        <v>-</v>
      </c>
      <c r="G595" s="95"/>
      <c r="H595" s="839"/>
      <c r="I595" s="1091"/>
      <c r="J595" s="1083"/>
      <c r="K595" s="1083"/>
      <c r="L595" s="932"/>
    </row>
    <row r="596" spans="1:12" s="106" customFormat="1" ht="15.75" hidden="1" customHeight="1" outlineLevel="1">
      <c r="A596" s="932"/>
      <c r="B596" s="1086"/>
      <c r="C596" s="1095"/>
      <c r="D596" s="1091"/>
      <c r="E596" s="1091"/>
      <c r="F596" s="1093"/>
      <c r="G596" s="98"/>
      <c r="H596" s="839"/>
      <c r="I596" s="1091"/>
      <c r="J596" s="1084"/>
      <c r="K596" s="1084"/>
      <c r="L596" s="932"/>
    </row>
    <row r="597" spans="1:12" s="106" customFormat="1" ht="15.75" hidden="1" customHeight="1" outlineLevel="1">
      <c r="A597" s="932"/>
      <c r="B597" s="1087"/>
      <c r="C597" s="1096"/>
      <c r="D597" s="1092"/>
      <c r="E597" s="1092"/>
      <c r="F597" s="1094"/>
      <c r="G597" s="103"/>
      <c r="H597" s="840"/>
      <c r="I597" s="1092"/>
      <c r="J597" s="1085"/>
      <c r="K597" s="1085"/>
      <c r="L597" s="932"/>
    </row>
    <row r="598" spans="1:12" s="106" customFormat="1" ht="15.75" hidden="1" customHeight="1" outlineLevel="1">
      <c r="A598" s="932"/>
      <c r="B598" s="1086">
        <v>196</v>
      </c>
      <c r="C598" s="1095"/>
      <c r="D598" s="1091"/>
      <c r="E598" s="1091" t="s">
        <v>20</v>
      </c>
      <c r="F598" s="1093" t="str">
        <f>VLOOKUP(E598,$N$13:$O$17,2,0)</f>
        <v>-</v>
      </c>
      <c r="G598" s="95"/>
      <c r="H598" s="839"/>
      <c r="I598" s="1091"/>
      <c r="J598" s="1083"/>
      <c r="K598" s="1083"/>
      <c r="L598" s="932"/>
    </row>
    <row r="599" spans="1:12" s="106" customFormat="1" ht="15.75" hidden="1" customHeight="1" outlineLevel="1">
      <c r="A599" s="932"/>
      <c r="B599" s="1086"/>
      <c r="C599" s="1095"/>
      <c r="D599" s="1091"/>
      <c r="E599" s="1091"/>
      <c r="F599" s="1093"/>
      <c r="G599" s="98"/>
      <c r="H599" s="839"/>
      <c r="I599" s="1091"/>
      <c r="J599" s="1084"/>
      <c r="K599" s="1084"/>
      <c r="L599" s="932"/>
    </row>
    <row r="600" spans="1:12" s="106" customFormat="1" ht="15.75" hidden="1" customHeight="1" outlineLevel="1">
      <c r="A600" s="932"/>
      <c r="B600" s="1087"/>
      <c r="C600" s="1096"/>
      <c r="D600" s="1092"/>
      <c r="E600" s="1092"/>
      <c r="F600" s="1094"/>
      <c r="G600" s="103"/>
      <c r="H600" s="840"/>
      <c r="I600" s="1092"/>
      <c r="J600" s="1085"/>
      <c r="K600" s="1085"/>
      <c r="L600" s="932"/>
    </row>
    <row r="601" spans="1:12" s="106" customFormat="1" ht="15.75" hidden="1" customHeight="1" outlineLevel="1">
      <c r="A601" s="932"/>
      <c r="B601" s="1086">
        <v>197</v>
      </c>
      <c r="C601" s="1095"/>
      <c r="D601" s="1091"/>
      <c r="E601" s="1091" t="s">
        <v>20</v>
      </c>
      <c r="F601" s="1093" t="str">
        <f>VLOOKUP(E601,$N$13:$O$17,2,0)</f>
        <v>-</v>
      </c>
      <c r="G601" s="95"/>
      <c r="H601" s="839"/>
      <c r="I601" s="1091"/>
      <c r="J601" s="1083"/>
      <c r="K601" s="1083"/>
      <c r="L601" s="932"/>
    </row>
    <row r="602" spans="1:12" s="106" customFormat="1" ht="15.75" hidden="1" customHeight="1" outlineLevel="1">
      <c r="A602" s="932"/>
      <c r="B602" s="1086"/>
      <c r="C602" s="1095"/>
      <c r="D602" s="1091"/>
      <c r="E602" s="1091"/>
      <c r="F602" s="1093"/>
      <c r="G602" s="98"/>
      <c r="H602" s="839"/>
      <c r="I602" s="1091"/>
      <c r="J602" s="1084"/>
      <c r="K602" s="1084"/>
      <c r="L602" s="932"/>
    </row>
    <row r="603" spans="1:12" s="106" customFormat="1" ht="15.75" hidden="1" customHeight="1" outlineLevel="1">
      <c r="A603" s="932"/>
      <c r="B603" s="1087"/>
      <c r="C603" s="1096"/>
      <c r="D603" s="1092"/>
      <c r="E603" s="1092"/>
      <c r="F603" s="1094"/>
      <c r="G603" s="103"/>
      <c r="H603" s="840"/>
      <c r="I603" s="1092"/>
      <c r="J603" s="1085"/>
      <c r="K603" s="1085"/>
      <c r="L603" s="932"/>
    </row>
    <row r="604" spans="1:12" s="106" customFormat="1" ht="15.75" hidden="1" customHeight="1" outlineLevel="1">
      <c r="A604" s="932"/>
      <c r="B604" s="1086">
        <v>198</v>
      </c>
      <c r="C604" s="1095"/>
      <c r="D604" s="1091"/>
      <c r="E604" s="1091" t="s">
        <v>20</v>
      </c>
      <c r="F604" s="1093" t="str">
        <f>VLOOKUP(E604,$N$13:$O$17,2,0)</f>
        <v>-</v>
      </c>
      <c r="G604" s="95"/>
      <c r="H604" s="839"/>
      <c r="I604" s="1091"/>
      <c r="J604" s="1083"/>
      <c r="K604" s="1083"/>
      <c r="L604" s="932"/>
    </row>
    <row r="605" spans="1:12" s="106" customFormat="1" ht="15.75" hidden="1" customHeight="1" outlineLevel="1">
      <c r="A605" s="932"/>
      <c r="B605" s="1086"/>
      <c r="C605" s="1095"/>
      <c r="D605" s="1091"/>
      <c r="E605" s="1091"/>
      <c r="F605" s="1093"/>
      <c r="G605" s="98"/>
      <c r="H605" s="839"/>
      <c r="I605" s="1091"/>
      <c r="J605" s="1084"/>
      <c r="K605" s="1084"/>
      <c r="L605" s="932"/>
    </row>
    <row r="606" spans="1:12" s="106" customFormat="1" ht="15.75" hidden="1" customHeight="1" outlineLevel="1">
      <c r="A606" s="932"/>
      <c r="B606" s="1087"/>
      <c r="C606" s="1096"/>
      <c r="D606" s="1092"/>
      <c r="E606" s="1092"/>
      <c r="F606" s="1094"/>
      <c r="G606" s="103"/>
      <c r="H606" s="840"/>
      <c r="I606" s="1092"/>
      <c r="J606" s="1085"/>
      <c r="K606" s="1085"/>
      <c r="L606" s="932"/>
    </row>
    <row r="607" spans="1:12" s="106" customFormat="1" ht="15.75" hidden="1" customHeight="1" outlineLevel="1">
      <c r="A607" s="932"/>
      <c r="B607" s="1086">
        <v>199</v>
      </c>
      <c r="C607" s="1095"/>
      <c r="D607" s="1091"/>
      <c r="E607" s="1091" t="s">
        <v>20</v>
      </c>
      <c r="F607" s="1093" t="str">
        <f>VLOOKUP(E607,$N$13:$O$17,2,0)</f>
        <v>-</v>
      </c>
      <c r="G607" s="95"/>
      <c r="H607" s="839"/>
      <c r="I607" s="1091"/>
      <c r="J607" s="1083"/>
      <c r="K607" s="1083"/>
      <c r="L607" s="932"/>
    </row>
    <row r="608" spans="1:12" s="106" customFormat="1" ht="15.75" hidden="1" customHeight="1" outlineLevel="1">
      <c r="A608" s="932"/>
      <c r="B608" s="1086"/>
      <c r="C608" s="1095"/>
      <c r="D608" s="1091"/>
      <c r="E608" s="1091"/>
      <c r="F608" s="1093"/>
      <c r="G608" s="98"/>
      <c r="H608" s="839"/>
      <c r="I608" s="1091"/>
      <c r="J608" s="1084"/>
      <c r="K608" s="1084"/>
      <c r="L608" s="932"/>
    </row>
    <row r="609" spans="1:12" s="106" customFormat="1" ht="15.75" hidden="1" customHeight="1" outlineLevel="1">
      <c r="A609" s="932"/>
      <c r="B609" s="1087"/>
      <c r="C609" s="1096"/>
      <c r="D609" s="1092"/>
      <c r="E609" s="1092"/>
      <c r="F609" s="1094"/>
      <c r="G609" s="103"/>
      <c r="H609" s="840"/>
      <c r="I609" s="1092"/>
      <c r="J609" s="1085"/>
      <c r="K609" s="1085"/>
      <c r="L609" s="932"/>
    </row>
    <row r="610" spans="1:12" s="106" customFormat="1" ht="15.75" hidden="1" customHeight="1" outlineLevel="1">
      <c r="A610" s="932"/>
      <c r="B610" s="1086">
        <v>200</v>
      </c>
      <c r="C610" s="1088" t="e">
        <f>CONCATENATE("Inne ",IF(#REF!=0,0,ROUND(#REF!/#REF!*100,1))," %")</f>
        <v>#REF!</v>
      </c>
      <c r="D610" s="1091"/>
      <c r="E610" s="1091" t="s">
        <v>20</v>
      </c>
      <c r="F610" s="1093" t="str">
        <f>VLOOKUP(E610,$N$13:$O$17,2,0)</f>
        <v>-</v>
      </c>
      <c r="G610" s="95"/>
      <c r="H610" s="839"/>
      <c r="I610" s="1091"/>
      <c r="J610" s="1083"/>
      <c r="K610" s="1083"/>
      <c r="L610" s="932"/>
    </row>
    <row r="611" spans="1:12" s="106" customFormat="1" ht="15.75" hidden="1" customHeight="1" outlineLevel="1">
      <c r="A611" s="932"/>
      <c r="B611" s="1086"/>
      <c r="C611" s="1089"/>
      <c r="D611" s="1091"/>
      <c r="E611" s="1091"/>
      <c r="F611" s="1093"/>
      <c r="G611" s="98"/>
      <c r="H611" s="839"/>
      <c r="I611" s="1091"/>
      <c r="J611" s="1084"/>
      <c r="K611" s="1084"/>
      <c r="L611" s="932"/>
    </row>
    <row r="612" spans="1:12" s="106" customFormat="1" ht="15.75" hidden="1" customHeight="1" outlineLevel="1" thickBot="1">
      <c r="A612" s="932"/>
      <c r="B612" s="1087"/>
      <c r="C612" s="1090"/>
      <c r="D612" s="1092"/>
      <c r="E612" s="1092"/>
      <c r="F612" s="1094"/>
      <c r="G612" s="103"/>
      <c r="H612" s="840"/>
      <c r="I612" s="1092"/>
      <c r="J612" s="1085"/>
      <c r="K612" s="1085"/>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097"/>
      <c r="G621" s="1098"/>
      <c r="H621" s="1098"/>
      <c r="I621" s="1098"/>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s>
  <dataValidations count="1">
    <dataValidation type="list" allowBlank="1" showInputMessage="1" showErrorMessage="1" sqref="E13:E612" xr:uid="{00000000-0002-0000-1700-000000000000}">
      <formula1>$N$13:$N$17</formula1>
    </dataValidation>
  </dataValidations>
  <hyperlinks>
    <hyperlink ref="C1" location="Spis!B49" display="&gt;&gt; powrót do spisu treści" xr:uid="{00000000-0004-0000-17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
    <pageSetUpPr fitToPage="1"/>
  </sheetPr>
  <dimension ref="A1:M249"/>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3" ht="15">
      <c r="A1" s="766"/>
      <c r="B1" s="896"/>
      <c r="C1" s="947" t="s">
        <v>10</v>
      </c>
      <c r="D1" s="938"/>
      <c r="E1" s="932"/>
      <c r="F1" s="932"/>
      <c r="G1" s="919"/>
      <c r="H1" s="922"/>
      <c r="I1" s="766"/>
      <c r="J1" s="766"/>
      <c r="K1" s="766"/>
    </row>
    <row r="2" spans="1:13" ht="9.9" customHeight="1">
      <c r="A2" s="766"/>
      <c r="B2" s="922"/>
      <c r="C2" s="922"/>
      <c r="D2" s="922"/>
      <c r="E2" s="922"/>
      <c r="F2" s="922"/>
      <c r="G2" s="896"/>
      <c r="H2" s="896"/>
      <c r="I2" s="766"/>
      <c r="J2" s="766"/>
      <c r="K2" s="766"/>
    </row>
    <row r="3" spans="1:13" ht="15" customHeight="1">
      <c r="A3" s="766"/>
      <c r="B3" s="913" t="s">
        <v>14</v>
      </c>
      <c r="C3" s="1114" t="s">
        <v>188</v>
      </c>
      <c r="D3" s="1115"/>
      <c r="E3" s="1115"/>
      <c r="F3" s="1115"/>
      <c r="G3" s="1115"/>
      <c r="H3" s="1115"/>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4" t="s">
        <v>106</v>
      </c>
      <c r="D5" s="1082"/>
      <c r="E5" s="1082"/>
      <c r="F5" s="1082"/>
      <c r="G5" s="1082"/>
      <c r="H5" s="1082"/>
      <c r="I5" s="952"/>
      <c r="J5" s="952"/>
      <c r="K5" s="952"/>
      <c r="L5" s="201"/>
      <c r="M5" s="201"/>
    </row>
    <row r="6" spans="1:13" ht="50.1" customHeight="1">
      <c r="A6" s="766"/>
      <c r="B6" s="913" t="s">
        <v>37</v>
      </c>
      <c r="C6" s="1044" t="s">
        <v>185</v>
      </c>
      <c r="D6" s="1048"/>
      <c r="E6" s="1048"/>
      <c r="F6" s="1048"/>
      <c r="G6" s="1082"/>
      <c r="H6" s="1082"/>
      <c r="I6" s="952"/>
      <c r="J6" s="952"/>
      <c r="K6" s="952"/>
      <c r="L6" s="201"/>
      <c r="M6" s="201"/>
    </row>
    <row r="7" spans="1:13" ht="30" customHeight="1" thickBot="1">
      <c r="A7" s="766"/>
      <c r="B7" s="924" t="s">
        <v>184</v>
      </c>
      <c r="C7" s="923"/>
      <c r="D7" s="925"/>
      <c r="E7" s="923"/>
      <c r="F7" s="926"/>
      <c r="G7" s="928"/>
      <c r="H7" s="929"/>
      <c r="I7" s="766"/>
      <c r="J7" s="766"/>
      <c r="K7" s="766"/>
    </row>
    <row r="8" spans="1:13" ht="20.100000000000001" customHeight="1">
      <c r="A8" s="33"/>
      <c r="B8" s="1118" t="str">
        <f>'Tab.G1.1-4'!$B$8</f>
        <v>LP</v>
      </c>
      <c r="C8" s="1120" t="str">
        <f>"Województwo"</f>
        <v>Województwo</v>
      </c>
      <c r="D8" s="1120" t="str">
        <f>"Gmina"</f>
        <v>Gmina</v>
      </c>
      <c r="E8" s="1121" t="str">
        <f>"Nazwa/rodzaj projektu inwestycyjnego"</f>
        <v>Nazwa/rodzaj projektu inwestycyjnego</v>
      </c>
      <c r="F8" s="1121" t="str">
        <f>Tab.G6!$H$9</f>
        <v>Zakres prac</v>
      </c>
      <c r="G8" s="632" t="str">
        <f>'Tab.G1.1-4'!$E$8</f>
        <v>Wykonanie</v>
      </c>
      <c r="H8" s="1116" t="str">
        <f>Tab.G6!$J$9</f>
        <v>UWAGI</v>
      </c>
      <c r="I8" s="33"/>
      <c r="J8" s="33"/>
      <c r="K8" s="33"/>
    </row>
    <row r="9" spans="1:13" ht="20.100000000000001" customHeight="1">
      <c r="A9" s="33"/>
      <c r="B9" s="1119"/>
      <c r="C9" s="1119"/>
      <c r="D9" s="1119"/>
      <c r="E9" s="1122"/>
      <c r="F9" s="1122"/>
      <c r="G9" s="633">
        <f>Rok_ZPR</f>
        <v>2020</v>
      </c>
      <c r="H9" s="1117"/>
      <c r="I9" s="33"/>
      <c r="J9" s="33"/>
      <c r="K9" s="33"/>
    </row>
    <row r="10" spans="1:13" ht="20.100000000000001" customHeight="1">
      <c r="A10" s="33"/>
      <c r="B10" s="1119"/>
      <c r="C10" s="1119"/>
      <c r="D10" s="1119"/>
      <c r="E10" s="1122"/>
      <c r="F10" s="1122"/>
      <c r="G10" s="633" t="str">
        <f>'Tab.G1.1-4'!$D$11</f>
        <v>[tys. zł]</v>
      </c>
      <c r="H10" s="1117"/>
      <c r="I10" s="33"/>
      <c r="J10" s="33"/>
      <c r="K10" s="33"/>
    </row>
    <row r="11" spans="1:13"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21" t="s">
        <v>31</v>
      </c>
      <c r="G216" s="78">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xr:uid="{00000000-0004-0000-18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4">
    <pageSetUpPr fitToPage="1"/>
  </sheetPr>
  <dimension ref="A1:M249"/>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3" ht="15">
      <c r="A1" s="766"/>
      <c r="B1" s="896"/>
      <c r="C1" s="947" t="s">
        <v>10</v>
      </c>
      <c r="D1" s="938"/>
      <c r="E1" s="932"/>
      <c r="F1" s="932"/>
      <c r="G1" s="919"/>
      <c r="H1" s="922"/>
      <c r="I1" s="766"/>
      <c r="J1" s="766"/>
      <c r="K1" s="766"/>
    </row>
    <row r="2" spans="1:13" ht="9.9" customHeight="1">
      <c r="A2" s="766"/>
      <c r="B2" s="922"/>
      <c r="C2" s="922"/>
      <c r="D2" s="922"/>
      <c r="E2" s="922"/>
      <c r="F2" s="922"/>
      <c r="G2" s="896"/>
      <c r="H2" s="896"/>
      <c r="I2" s="766"/>
      <c r="J2" s="766"/>
      <c r="K2" s="766"/>
    </row>
    <row r="3" spans="1:13" ht="15" customHeight="1">
      <c r="A3" s="766"/>
      <c r="B3" s="913" t="s">
        <v>14</v>
      </c>
      <c r="C3" s="1114" t="s">
        <v>188</v>
      </c>
      <c r="D3" s="1115"/>
      <c r="E3" s="1115"/>
      <c r="F3" s="1115"/>
      <c r="G3" s="1115"/>
      <c r="H3" s="1115"/>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4" t="s">
        <v>106</v>
      </c>
      <c r="D5" s="1082"/>
      <c r="E5" s="1082"/>
      <c r="F5" s="1082"/>
      <c r="G5" s="1082"/>
      <c r="H5" s="1082"/>
      <c r="I5" s="952"/>
      <c r="J5" s="952"/>
      <c r="K5" s="952"/>
      <c r="L5" s="843"/>
      <c r="M5" s="843"/>
    </row>
    <row r="6" spans="1:13" ht="50.1" customHeight="1">
      <c r="A6" s="766"/>
      <c r="B6" s="913" t="s">
        <v>37</v>
      </c>
      <c r="C6" s="1044" t="s">
        <v>185</v>
      </c>
      <c r="D6" s="1048"/>
      <c r="E6" s="1048"/>
      <c r="F6" s="1048"/>
      <c r="G6" s="1082"/>
      <c r="H6" s="1082"/>
      <c r="I6" s="952"/>
      <c r="J6" s="952"/>
      <c r="K6" s="952"/>
      <c r="L6" s="843"/>
      <c r="M6" s="843"/>
    </row>
    <row r="7" spans="1:13" ht="30" customHeight="1" thickBot="1">
      <c r="A7" s="766"/>
      <c r="B7" s="924" t="s">
        <v>268</v>
      </c>
      <c r="C7" s="923"/>
      <c r="D7" s="925"/>
      <c r="E7" s="923"/>
      <c r="F7" s="926"/>
      <c r="G7" s="928"/>
      <c r="H7" s="929"/>
      <c r="I7" s="766"/>
      <c r="J7" s="766"/>
      <c r="K7" s="766"/>
    </row>
    <row r="8" spans="1:13" ht="20.100000000000001" customHeight="1">
      <c r="A8" s="33"/>
      <c r="B8" s="1118" t="str">
        <f>'Tab.G1.1-4'!$B$8</f>
        <v>LP</v>
      </c>
      <c r="C8" s="1120" t="str">
        <f>"Województwo"</f>
        <v>Województwo</v>
      </c>
      <c r="D8" s="1120" t="str">
        <f>"Gmina"</f>
        <v>Gmina</v>
      </c>
      <c r="E8" s="1121" t="str">
        <f>"Nazwa/rodzaj projektu inwestycyjnego"</f>
        <v>Nazwa/rodzaj projektu inwestycyjnego</v>
      </c>
      <c r="F8" s="1121" t="str">
        <f>Tab.G6!$H$9</f>
        <v>Zakres prac</v>
      </c>
      <c r="G8" s="632" t="str">
        <f>'Tab.G1.1-4'!$E$8</f>
        <v>Wykonanie</v>
      </c>
      <c r="H8" s="1116" t="str">
        <f>Tab.G6!$J$9</f>
        <v>UWAGI</v>
      </c>
      <c r="I8" s="33"/>
      <c r="J8" s="33"/>
      <c r="K8" s="33"/>
    </row>
    <row r="9" spans="1:13" ht="20.100000000000001" customHeight="1">
      <c r="A9" s="33"/>
      <c r="B9" s="1119"/>
      <c r="C9" s="1119"/>
      <c r="D9" s="1119"/>
      <c r="E9" s="1122"/>
      <c r="F9" s="1122"/>
      <c r="G9" s="633">
        <f>Rok_ZPR</f>
        <v>2020</v>
      </c>
      <c r="H9" s="1117"/>
      <c r="I9" s="33"/>
      <c r="J9" s="33"/>
      <c r="K9" s="33"/>
    </row>
    <row r="10" spans="1:13" ht="20.100000000000001" customHeight="1">
      <c r="A10" s="33"/>
      <c r="B10" s="1119"/>
      <c r="C10" s="1119"/>
      <c r="D10" s="1119"/>
      <c r="E10" s="1122"/>
      <c r="F10" s="1122"/>
      <c r="G10" s="633" t="str">
        <f>'Tab.G1.1-4'!$D$11</f>
        <v>[tys. zł]</v>
      </c>
      <c r="H10" s="1117"/>
      <c r="I10" s="33"/>
      <c r="J10" s="33"/>
      <c r="K10" s="33"/>
    </row>
    <row r="11" spans="1:13"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SUM('Tab.G1.1-4'!E77,'Tab.G1.1-4'!E80,-G213)</f>
        <v>0</v>
      </c>
      <c r="H216" s="838"/>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xr:uid="{00000000-0004-0000-19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4">
    <pageSetUpPr fitToPage="1"/>
  </sheetPr>
  <dimension ref="A1:K217"/>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766"/>
      <c r="B1" s="896"/>
      <c r="C1" s="947" t="s">
        <v>10</v>
      </c>
      <c r="D1" s="938"/>
      <c r="E1" s="932"/>
      <c r="F1" s="932"/>
      <c r="G1" s="919"/>
      <c r="H1" s="922"/>
      <c r="I1" s="766"/>
      <c r="J1" s="766"/>
      <c r="K1" s="766"/>
    </row>
    <row r="2" spans="1:11" ht="9.9" customHeight="1">
      <c r="A2" s="766"/>
      <c r="B2" s="922"/>
      <c r="C2" s="922"/>
      <c r="D2" s="922"/>
      <c r="E2" s="922"/>
      <c r="F2" s="922"/>
      <c r="G2" s="896"/>
      <c r="H2" s="896"/>
      <c r="I2" s="766"/>
      <c r="J2" s="766"/>
      <c r="K2" s="766"/>
    </row>
    <row r="3" spans="1:11" ht="15" customHeight="1">
      <c r="A3" s="766"/>
      <c r="B3" s="913" t="s">
        <v>14</v>
      </c>
      <c r="C3" s="1114" t="s">
        <v>187</v>
      </c>
      <c r="D3" s="1082"/>
      <c r="E3" s="1082"/>
      <c r="F3" s="1082"/>
      <c r="G3" s="1082"/>
      <c r="H3" s="1082"/>
      <c r="I3" s="1082"/>
      <c r="J3" s="1082"/>
      <c r="K3" s="1082"/>
    </row>
    <row r="4" spans="1:11" ht="15" customHeight="1">
      <c r="A4" s="766"/>
      <c r="B4" s="953" t="s">
        <v>29</v>
      </c>
      <c r="C4" s="1114" t="s">
        <v>186</v>
      </c>
      <c r="D4" s="1082"/>
      <c r="E4" s="1082"/>
      <c r="F4" s="1082"/>
      <c r="G4" s="1082"/>
      <c r="H4" s="1082"/>
      <c r="I4" s="950"/>
      <c r="J4" s="950"/>
      <c r="K4" s="950"/>
    </row>
    <row r="5" spans="1:11" ht="15" customHeight="1">
      <c r="A5" s="766"/>
      <c r="B5" s="913" t="s">
        <v>30</v>
      </c>
      <c r="C5" s="1114" t="s">
        <v>106</v>
      </c>
      <c r="D5" s="1082"/>
      <c r="E5" s="1082"/>
      <c r="F5" s="1082"/>
      <c r="G5" s="1082"/>
      <c r="H5" s="1082"/>
      <c r="I5" s="1082"/>
      <c r="J5" s="1082"/>
      <c r="K5" s="1082"/>
    </row>
    <row r="6" spans="1:11" ht="50.1" customHeight="1">
      <c r="A6" s="766"/>
      <c r="B6" s="913" t="s">
        <v>37</v>
      </c>
      <c r="C6" s="1044" t="s">
        <v>185</v>
      </c>
      <c r="D6" s="1048"/>
      <c r="E6" s="1048"/>
      <c r="F6" s="1048"/>
      <c r="G6" s="1082"/>
      <c r="H6" s="1082"/>
      <c r="I6" s="1082"/>
      <c r="J6" s="1082"/>
      <c r="K6" s="1082"/>
    </row>
    <row r="7" spans="1:11" ht="30" customHeight="1" thickBot="1">
      <c r="A7" s="766"/>
      <c r="B7" s="924" t="s">
        <v>189</v>
      </c>
      <c r="C7" s="923"/>
      <c r="D7" s="925"/>
      <c r="E7" s="923"/>
      <c r="F7" s="926"/>
      <c r="G7" s="928"/>
      <c r="H7" s="929"/>
      <c r="I7" s="766"/>
      <c r="J7" s="766"/>
      <c r="K7" s="766"/>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2020</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21" t="s">
        <v>31</v>
      </c>
      <c r="G216" s="78">
        <f>'Tab.G1.1-4'!E14-G213</f>
        <v>0</v>
      </c>
      <c r="H216"/>
      <c r="I216" s="33"/>
      <c r="J216" s="33"/>
      <c r="K216" s="33"/>
    </row>
    <row r="217" spans="1:11">
      <c r="A217" s="33"/>
      <c r="B217" s="33"/>
      <c r="C217" s="33"/>
      <c r="D217" s="33"/>
      <c r="E217" s="33"/>
      <c r="F217" s="33"/>
      <c r="G217" s="33"/>
      <c r="H217" s="33"/>
      <c r="I217" s="33"/>
      <c r="J217" s="33"/>
      <c r="K217" s="33"/>
    </row>
  </sheetData>
  <mergeCells count="10">
    <mergeCell ref="C3:K3"/>
    <mergeCell ref="C4:H4"/>
    <mergeCell ref="F8:F10"/>
    <mergeCell ref="C6:K6"/>
    <mergeCell ref="H8:H10"/>
    <mergeCell ref="B8:B10"/>
    <mergeCell ref="C8:C10"/>
    <mergeCell ref="D8:D10"/>
    <mergeCell ref="E8:E10"/>
    <mergeCell ref="C5:K5"/>
  </mergeCells>
  <phoneticPr fontId="0" type="noConversion"/>
  <hyperlinks>
    <hyperlink ref="C1" location="Spis!B52" display="&gt;&gt; powrót do spisu treści" xr:uid="{00000000-0004-0000-1A00-000000000000}"/>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5">
    <pageSetUpPr fitToPage="1"/>
  </sheetPr>
  <dimension ref="A1:K224"/>
  <sheetViews>
    <sheetView zoomScale="90" zoomScaleNormal="9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33"/>
      <c r="B1" s="50"/>
      <c r="C1" s="946" t="s">
        <v>10</v>
      </c>
      <c r="D1" s="51"/>
      <c r="E1" s="52"/>
      <c r="F1" s="52"/>
      <c r="G1" s="53"/>
      <c r="H1" s="922"/>
      <c r="I1" s="766"/>
      <c r="J1" s="766"/>
      <c r="K1" s="766"/>
    </row>
    <row r="2" spans="1:11" ht="9.9" customHeight="1">
      <c r="A2" s="33"/>
      <c r="B2" s="54"/>
      <c r="C2" s="54"/>
      <c r="D2" s="54"/>
      <c r="E2" s="54"/>
      <c r="F2" s="54"/>
      <c r="G2" s="50"/>
      <c r="H2" s="50"/>
      <c r="I2" s="33"/>
      <c r="J2" s="33"/>
      <c r="K2" s="33"/>
    </row>
    <row r="3" spans="1:11" ht="15" customHeight="1">
      <c r="A3" s="33"/>
      <c r="B3" s="955" t="s">
        <v>14</v>
      </c>
      <c r="C3" s="1123" t="s">
        <v>190</v>
      </c>
      <c r="D3" s="1125"/>
      <c r="E3" s="1125"/>
      <c r="F3" s="1125"/>
      <c r="G3" s="1125"/>
      <c r="H3" s="1125"/>
      <c r="I3" s="33"/>
      <c r="J3" s="33"/>
      <c r="K3" s="33"/>
    </row>
    <row r="4" spans="1:11" ht="15" customHeight="1">
      <c r="A4" s="33"/>
      <c r="B4" s="955" t="s">
        <v>29</v>
      </c>
      <c r="C4" s="1123" t="s">
        <v>191</v>
      </c>
      <c r="D4" s="1126"/>
      <c r="E4" s="1126"/>
      <c r="F4" s="1126"/>
      <c r="G4" s="1126"/>
      <c r="H4" s="1126"/>
      <c r="I4" s="33"/>
      <c r="J4" s="33"/>
      <c r="K4" s="33"/>
    </row>
    <row r="5" spans="1:11" ht="15" customHeight="1">
      <c r="A5" s="33"/>
      <c r="B5" s="955" t="s">
        <v>30</v>
      </c>
      <c r="C5" s="1127" t="s">
        <v>186</v>
      </c>
      <c r="D5" s="1128"/>
      <c r="E5" s="1128"/>
      <c r="F5" s="1128"/>
      <c r="G5" s="1128"/>
      <c r="H5" s="1128"/>
      <c r="I5" s="33"/>
      <c r="J5" s="33"/>
      <c r="K5" s="33"/>
    </row>
    <row r="6" spans="1:11" ht="50.1" customHeight="1">
      <c r="A6" s="33"/>
      <c r="B6" s="955" t="s">
        <v>37</v>
      </c>
      <c r="C6" s="1123" t="s">
        <v>185</v>
      </c>
      <c r="D6" s="1124"/>
      <c r="E6" s="1124"/>
      <c r="F6" s="1124"/>
      <c r="G6" s="1124"/>
      <c r="H6" s="1124"/>
      <c r="I6" s="33"/>
      <c r="J6" s="33"/>
      <c r="K6" s="33"/>
    </row>
    <row r="7" spans="1:11" ht="30" customHeight="1" thickBot="1">
      <c r="A7" s="33"/>
      <c r="B7" s="814" t="s">
        <v>265</v>
      </c>
      <c r="C7" s="55"/>
      <c r="D7" s="56"/>
      <c r="E7" s="55"/>
      <c r="F7" s="57"/>
      <c r="G7" s="58"/>
      <c r="H7" s="59"/>
      <c r="I7" s="33"/>
      <c r="J7" s="33"/>
      <c r="K7" s="33"/>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2020</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idden="1" outlineLevel="1">
      <c r="A23" s="33"/>
      <c r="B23" s="62">
        <v>11</v>
      </c>
      <c r="C23" s="69"/>
      <c r="D23" s="69"/>
      <c r="E23" s="69"/>
      <c r="F23" s="69"/>
      <c r="G23" s="64"/>
      <c r="H23" s="64"/>
      <c r="I23" s="33"/>
      <c r="J23" s="33"/>
      <c r="K23" s="33"/>
    </row>
    <row r="24" spans="1:11" hidden="1" outlineLevel="1">
      <c r="A24" s="33"/>
      <c r="B24" s="65">
        <v>12</v>
      </c>
      <c r="C24" s="68"/>
      <c r="D24" s="68"/>
      <c r="E24" s="68"/>
      <c r="F24" s="68"/>
      <c r="G24" s="64"/>
      <c r="H24" s="64"/>
      <c r="I24" s="33"/>
      <c r="J24" s="33"/>
      <c r="K24" s="33"/>
    </row>
    <row r="25" spans="1:11" hidden="1" outlineLevel="1">
      <c r="A25" s="33"/>
      <c r="B25" s="62">
        <v>13</v>
      </c>
      <c r="C25" s="68"/>
      <c r="D25" s="68"/>
      <c r="E25" s="68"/>
      <c r="F25" s="68"/>
      <c r="G25" s="64"/>
      <c r="H25" s="64"/>
      <c r="I25" s="33"/>
      <c r="J25" s="33"/>
      <c r="K25" s="33"/>
    </row>
    <row r="26" spans="1:11" hidden="1" outlineLevel="1">
      <c r="A26" s="33"/>
      <c r="B26" s="65">
        <v>14</v>
      </c>
      <c r="C26" s="68"/>
      <c r="D26" s="68"/>
      <c r="E26" s="68"/>
      <c r="F26" s="68"/>
      <c r="G26" s="64"/>
      <c r="H26" s="64"/>
      <c r="I26" s="33"/>
      <c r="J26" s="33"/>
      <c r="K26" s="33"/>
    </row>
    <row r="27" spans="1:11" hidden="1" outlineLevel="1">
      <c r="A27" s="33"/>
      <c r="B27" s="62">
        <v>15</v>
      </c>
      <c r="C27" s="68"/>
      <c r="D27" s="68"/>
      <c r="E27" s="68"/>
      <c r="F27" s="68"/>
      <c r="G27" s="64"/>
      <c r="H27" s="64"/>
      <c r="I27" s="33"/>
      <c r="J27" s="33"/>
      <c r="K27" s="33"/>
    </row>
    <row r="28" spans="1:11" hidden="1" outlineLevel="1">
      <c r="A28" s="33"/>
      <c r="B28" s="65">
        <v>16</v>
      </c>
      <c r="C28" s="68"/>
      <c r="D28" s="68"/>
      <c r="E28" s="68"/>
      <c r="F28" s="68"/>
      <c r="G28" s="64"/>
      <c r="H28" s="64"/>
      <c r="I28" s="33"/>
      <c r="J28" s="33"/>
      <c r="K28" s="33"/>
    </row>
    <row r="29" spans="1:11" hidden="1" outlineLevel="1">
      <c r="A29" s="33"/>
      <c r="B29" s="62">
        <v>17</v>
      </c>
      <c r="C29" s="68"/>
      <c r="D29" s="68"/>
      <c r="E29" s="68"/>
      <c r="F29" s="68"/>
      <c r="G29" s="64"/>
      <c r="H29" s="64"/>
      <c r="I29" s="33"/>
      <c r="J29" s="33"/>
      <c r="K29" s="33"/>
    </row>
    <row r="30" spans="1:11" hidden="1" outlineLevel="1">
      <c r="A30" s="33"/>
      <c r="B30" s="65">
        <v>18</v>
      </c>
      <c r="C30" s="68"/>
      <c r="D30" s="68"/>
      <c r="E30" s="68"/>
      <c r="F30" s="68"/>
      <c r="G30" s="64"/>
      <c r="H30" s="64"/>
      <c r="I30" s="33"/>
      <c r="J30" s="33"/>
      <c r="K30" s="33"/>
    </row>
    <row r="31" spans="1:11" hidden="1" outlineLevel="1">
      <c r="A31" s="33"/>
      <c r="B31" s="62">
        <v>19</v>
      </c>
      <c r="C31" s="68"/>
      <c r="D31" s="68"/>
      <c r="E31" s="68"/>
      <c r="F31" s="68"/>
      <c r="G31" s="64"/>
      <c r="H31" s="64"/>
      <c r="I31" s="33"/>
      <c r="J31" s="33"/>
      <c r="K31" s="33"/>
    </row>
    <row r="32" spans="1:11" hidden="1" outlineLevel="1">
      <c r="A32" s="33"/>
      <c r="B32" s="65">
        <v>20</v>
      </c>
      <c r="C32" s="68"/>
      <c r="D32" s="68"/>
      <c r="E32" s="68"/>
      <c r="F32" s="68"/>
      <c r="G32" s="64"/>
      <c r="H32" s="64"/>
      <c r="I32" s="33"/>
      <c r="J32" s="33"/>
      <c r="K32" s="33"/>
    </row>
    <row r="33" spans="1:11" hidden="1" outlineLevel="1">
      <c r="A33" s="33"/>
      <c r="B33" s="62">
        <v>21</v>
      </c>
      <c r="C33" s="68"/>
      <c r="D33" s="68"/>
      <c r="E33" s="68"/>
      <c r="F33" s="68"/>
      <c r="G33" s="64"/>
      <c r="H33" s="64"/>
      <c r="I33" s="33"/>
      <c r="J33" s="33"/>
      <c r="K33" s="33"/>
    </row>
    <row r="34" spans="1:11" hidden="1" outlineLevel="1">
      <c r="A34" s="33"/>
      <c r="B34" s="65">
        <v>22</v>
      </c>
      <c r="C34" s="68"/>
      <c r="D34" s="68"/>
      <c r="E34" s="68"/>
      <c r="F34" s="68"/>
      <c r="G34" s="64"/>
      <c r="H34" s="64"/>
      <c r="I34" s="33"/>
      <c r="J34" s="33"/>
      <c r="K34" s="33"/>
    </row>
    <row r="35" spans="1:11" hidden="1" outlineLevel="1">
      <c r="A35" s="33"/>
      <c r="B35" s="62">
        <v>23</v>
      </c>
      <c r="C35" s="68"/>
      <c r="D35" s="68"/>
      <c r="E35" s="68"/>
      <c r="F35" s="68"/>
      <c r="G35" s="64"/>
      <c r="H35" s="64"/>
      <c r="I35" s="33"/>
      <c r="J35" s="33"/>
      <c r="K35" s="33"/>
    </row>
    <row r="36" spans="1:11" hidden="1" outlineLevel="1">
      <c r="A36" s="33"/>
      <c r="B36" s="65">
        <v>24</v>
      </c>
      <c r="C36" s="68"/>
      <c r="D36" s="68"/>
      <c r="E36" s="68"/>
      <c r="F36" s="68"/>
      <c r="G36" s="64"/>
      <c r="H36" s="64"/>
      <c r="I36" s="33"/>
      <c r="J36" s="33"/>
      <c r="K36" s="33"/>
    </row>
    <row r="37" spans="1:11" hidden="1" outlineLevel="1">
      <c r="A37" s="33"/>
      <c r="B37" s="62">
        <v>25</v>
      </c>
      <c r="C37" s="68"/>
      <c r="D37" s="68"/>
      <c r="E37" s="68"/>
      <c r="F37" s="68"/>
      <c r="G37" s="64"/>
      <c r="H37" s="64"/>
      <c r="I37" s="33"/>
      <c r="J37" s="33"/>
      <c r="K37" s="33"/>
    </row>
    <row r="38" spans="1:11" hidden="1" outlineLevel="1">
      <c r="A38" s="33"/>
      <c r="B38" s="65">
        <v>26</v>
      </c>
      <c r="C38" s="68"/>
      <c r="D38" s="68"/>
      <c r="E38" s="68"/>
      <c r="F38" s="68"/>
      <c r="G38" s="64"/>
      <c r="H38" s="64"/>
      <c r="I38" s="33"/>
      <c r="J38" s="33"/>
      <c r="K38" s="33"/>
    </row>
    <row r="39" spans="1:11" hidden="1" outlineLevel="1">
      <c r="A39" s="33"/>
      <c r="B39" s="62">
        <v>27</v>
      </c>
      <c r="C39" s="68"/>
      <c r="D39" s="68"/>
      <c r="E39" s="68"/>
      <c r="F39" s="68"/>
      <c r="G39" s="64"/>
      <c r="H39" s="64"/>
      <c r="I39" s="33"/>
      <c r="J39" s="33"/>
      <c r="K39" s="33"/>
    </row>
    <row r="40" spans="1:11" hidden="1" outlineLevel="1">
      <c r="A40" s="33"/>
      <c r="B40" s="65">
        <v>28</v>
      </c>
      <c r="C40" s="68"/>
      <c r="D40" s="68"/>
      <c r="E40" s="68"/>
      <c r="F40" s="68"/>
      <c r="G40" s="64"/>
      <c r="H40" s="64"/>
      <c r="I40" s="33"/>
      <c r="J40" s="33"/>
      <c r="K40" s="33"/>
    </row>
    <row r="41" spans="1:11" hidden="1" outlineLevel="1">
      <c r="A41" s="33"/>
      <c r="B41" s="62">
        <v>29</v>
      </c>
      <c r="C41" s="68"/>
      <c r="D41" s="68"/>
      <c r="E41" s="68"/>
      <c r="F41" s="68"/>
      <c r="G41" s="64"/>
      <c r="H41" s="64"/>
      <c r="I41" s="33"/>
      <c r="J41" s="33"/>
      <c r="K41" s="33"/>
    </row>
    <row r="42" spans="1:11" hidden="1" outlineLevel="1">
      <c r="A42" s="33"/>
      <c r="B42" s="65">
        <v>30</v>
      </c>
      <c r="C42" s="68"/>
      <c r="D42" s="68"/>
      <c r="E42" s="68"/>
      <c r="F42" s="68"/>
      <c r="G42" s="64"/>
      <c r="H42" s="64"/>
      <c r="I42" s="33"/>
      <c r="J42" s="33"/>
      <c r="K42" s="33"/>
    </row>
    <row r="43" spans="1:11" hidden="1" outlineLevel="1">
      <c r="A43" s="33"/>
      <c r="B43" s="62">
        <v>31</v>
      </c>
      <c r="C43" s="68"/>
      <c r="D43" s="68"/>
      <c r="E43" s="68"/>
      <c r="F43" s="68"/>
      <c r="G43" s="64"/>
      <c r="H43" s="64"/>
      <c r="I43" s="33"/>
      <c r="J43" s="33"/>
      <c r="K43" s="33"/>
    </row>
    <row r="44" spans="1:11" hidden="1" outlineLevel="1">
      <c r="A44" s="33"/>
      <c r="B44" s="65">
        <v>32</v>
      </c>
      <c r="C44" s="68"/>
      <c r="D44" s="68"/>
      <c r="E44" s="68"/>
      <c r="F44" s="68"/>
      <c r="G44" s="64"/>
      <c r="H44" s="64"/>
      <c r="I44" s="33"/>
      <c r="J44" s="33"/>
      <c r="K44" s="33"/>
    </row>
    <row r="45" spans="1:11" hidden="1" outlineLevel="1">
      <c r="A45" s="33"/>
      <c r="B45" s="62">
        <v>33</v>
      </c>
      <c r="C45" s="68"/>
      <c r="D45" s="68"/>
      <c r="E45" s="68"/>
      <c r="F45" s="68"/>
      <c r="G45" s="64"/>
      <c r="H45" s="64"/>
      <c r="I45" s="33"/>
      <c r="J45" s="33"/>
      <c r="K45" s="33"/>
    </row>
    <row r="46" spans="1:11" hidden="1" outlineLevel="1">
      <c r="A46" s="33"/>
      <c r="B46" s="65">
        <v>34</v>
      </c>
      <c r="C46" s="68"/>
      <c r="D46" s="68"/>
      <c r="E46" s="68"/>
      <c r="F46" s="68"/>
      <c r="G46" s="64"/>
      <c r="H46" s="64"/>
      <c r="I46" s="33"/>
      <c r="J46" s="33"/>
      <c r="K46" s="33"/>
    </row>
    <row r="47" spans="1:11" hidden="1" outlineLevel="1">
      <c r="A47" s="33"/>
      <c r="B47" s="62">
        <v>35</v>
      </c>
      <c r="C47" s="68"/>
      <c r="D47" s="68"/>
      <c r="E47" s="68"/>
      <c r="F47" s="68"/>
      <c r="G47" s="64"/>
      <c r="H47" s="64"/>
      <c r="I47" s="33"/>
      <c r="J47" s="33"/>
      <c r="K47" s="33"/>
    </row>
    <row r="48" spans="1:11" hidden="1" outlineLevel="1">
      <c r="A48" s="33"/>
      <c r="B48" s="65">
        <v>36</v>
      </c>
      <c r="C48" s="68"/>
      <c r="D48" s="68"/>
      <c r="E48" s="68"/>
      <c r="F48" s="68"/>
      <c r="G48" s="64"/>
      <c r="H48" s="64"/>
      <c r="I48" s="33"/>
      <c r="J48" s="33"/>
      <c r="K48" s="33"/>
    </row>
    <row r="49" spans="1:11" hidden="1" outlineLevel="1">
      <c r="A49" s="33"/>
      <c r="B49" s="62">
        <v>37</v>
      </c>
      <c r="C49" s="68"/>
      <c r="D49" s="68"/>
      <c r="E49" s="68"/>
      <c r="F49" s="68"/>
      <c r="G49" s="64"/>
      <c r="H49" s="64"/>
      <c r="I49" s="33"/>
      <c r="J49" s="33"/>
      <c r="K49" s="33"/>
    </row>
    <row r="50" spans="1:11" hidden="1" outlineLevel="1">
      <c r="A50" s="33"/>
      <c r="B50" s="65">
        <v>38</v>
      </c>
      <c r="C50" s="68"/>
      <c r="D50" s="68"/>
      <c r="E50" s="68"/>
      <c r="F50" s="68"/>
      <c r="G50" s="64"/>
      <c r="H50" s="64"/>
      <c r="I50" s="33"/>
      <c r="J50" s="33"/>
      <c r="K50" s="33"/>
    </row>
    <row r="51" spans="1:11" hidden="1" outlineLevel="1">
      <c r="A51" s="33"/>
      <c r="B51" s="62">
        <v>39</v>
      </c>
      <c r="C51" s="68"/>
      <c r="D51" s="68"/>
      <c r="E51" s="68"/>
      <c r="F51" s="68"/>
      <c r="G51" s="64"/>
      <c r="H51" s="64"/>
      <c r="I51" s="33"/>
      <c r="J51" s="33"/>
      <c r="K51" s="33"/>
    </row>
    <row r="52" spans="1:11" hidden="1" outlineLevel="1">
      <c r="A52" s="33"/>
      <c r="B52" s="65">
        <v>40</v>
      </c>
      <c r="C52" s="68"/>
      <c r="D52" s="68"/>
      <c r="E52" s="68"/>
      <c r="F52" s="68"/>
      <c r="G52" s="64"/>
      <c r="H52" s="64"/>
      <c r="I52" s="33"/>
      <c r="J52" s="33"/>
      <c r="K52" s="33"/>
    </row>
    <row r="53" spans="1:11" hidden="1" outlineLevel="1">
      <c r="A53" s="33"/>
      <c r="B53" s="62">
        <v>41</v>
      </c>
      <c r="C53" s="68"/>
      <c r="D53" s="68"/>
      <c r="E53" s="68"/>
      <c r="F53" s="68"/>
      <c r="G53" s="64"/>
      <c r="H53" s="64"/>
      <c r="I53" s="33"/>
      <c r="J53" s="33"/>
      <c r="K53" s="33"/>
    </row>
    <row r="54" spans="1:11" hidden="1" outlineLevel="1">
      <c r="A54" s="33"/>
      <c r="B54" s="65">
        <v>42</v>
      </c>
      <c r="C54" s="68"/>
      <c r="D54" s="68"/>
      <c r="E54" s="68"/>
      <c r="F54" s="68"/>
      <c r="G54" s="64"/>
      <c r="H54" s="64"/>
      <c r="I54" s="33"/>
      <c r="J54" s="33"/>
      <c r="K54" s="33"/>
    </row>
    <row r="55" spans="1:11" hidden="1" outlineLevel="1">
      <c r="A55" s="33"/>
      <c r="B55" s="62">
        <v>43</v>
      </c>
      <c r="C55" s="68"/>
      <c r="D55" s="68"/>
      <c r="E55" s="68"/>
      <c r="F55" s="68"/>
      <c r="G55" s="64"/>
      <c r="H55" s="64"/>
      <c r="I55" s="33"/>
      <c r="J55" s="33"/>
      <c r="K55" s="33"/>
    </row>
    <row r="56" spans="1:11" hidden="1" outlineLevel="1">
      <c r="A56" s="33"/>
      <c r="B56" s="65">
        <v>44</v>
      </c>
      <c r="C56" s="68"/>
      <c r="D56" s="68"/>
      <c r="E56" s="68"/>
      <c r="F56" s="68"/>
      <c r="G56" s="64"/>
      <c r="H56" s="64"/>
      <c r="I56" s="33"/>
      <c r="J56" s="33"/>
      <c r="K56" s="33"/>
    </row>
    <row r="57" spans="1:11" hidden="1" outlineLevel="1">
      <c r="A57" s="33"/>
      <c r="B57" s="62">
        <v>45</v>
      </c>
      <c r="C57" s="68"/>
      <c r="D57" s="68"/>
      <c r="E57" s="68"/>
      <c r="F57" s="68"/>
      <c r="G57" s="64"/>
      <c r="H57" s="64"/>
      <c r="I57" s="33"/>
      <c r="J57" s="33"/>
      <c r="K57" s="33"/>
    </row>
    <row r="58" spans="1:11" hidden="1" outlineLevel="1">
      <c r="A58" s="33"/>
      <c r="B58" s="65">
        <v>46</v>
      </c>
      <c r="C58" s="68"/>
      <c r="D58" s="68"/>
      <c r="E58" s="68"/>
      <c r="F58" s="68"/>
      <c r="G58" s="64"/>
      <c r="H58" s="64"/>
      <c r="I58" s="33"/>
      <c r="J58" s="33"/>
      <c r="K58" s="33"/>
    </row>
    <row r="59" spans="1:11" hidden="1" outlineLevel="1">
      <c r="A59" s="33"/>
      <c r="B59" s="62">
        <v>47</v>
      </c>
      <c r="C59" s="68"/>
      <c r="D59" s="68"/>
      <c r="E59" s="68"/>
      <c r="F59" s="68"/>
      <c r="G59" s="64"/>
      <c r="H59" s="64"/>
      <c r="I59" s="33"/>
      <c r="J59" s="33"/>
      <c r="K59" s="33"/>
    </row>
    <row r="60" spans="1:11" hidden="1" outlineLevel="1">
      <c r="A60" s="33"/>
      <c r="B60" s="65">
        <v>48</v>
      </c>
      <c r="C60" s="68"/>
      <c r="D60" s="68"/>
      <c r="E60" s="68"/>
      <c r="F60" s="68"/>
      <c r="G60" s="64"/>
      <c r="H60" s="64"/>
      <c r="I60" s="33"/>
      <c r="J60" s="33"/>
      <c r="K60" s="33"/>
    </row>
    <row r="61" spans="1:11" hidden="1" outlineLevel="1">
      <c r="A61" s="33"/>
      <c r="B61" s="62">
        <v>49</v>
      </c>
      <c r="C61" s="68"/>
      <c r="D61" s="68"/>
      <c r="E61" s="68"/>
      <c r="F61" s="68"/>
      <c r="G61" s="64"/>
      <c r="H61" s="64"/>
      <c r="I61" s="33"/>
      <c r="J61" s="33"/>
      <c r="K61" s="33"/>
    </row>
    <row r="62" spans="1:11" hidden="1" outlineLevel="1">
      <c r="A62" s="33"/>
      <c r="B62" s="65">
        <v>50</v>
      </c>
      <c r="C62" s="68"/>
      <c r="D62" s="68"/>
      <c r="E62" s="68"/>
      <c r="F62" s="68"/>
      <c r="G62" s="64"/>
      <c r="H62" s="64"/>
      <c r="I62" s="33"/>
      <c r="J62" s="33"/>
      <c r="K62" s="33"/>
    </row>
    <row r="63" spans="1:11" hidden="1" outlineLevel="1">
      <c r="A63" s="33"/>
      <c r="B63" s="62">
        <v>51</v>
      </c>
      <c r="C63" s="68"/>
      <c r="D63" s="68"/>
      <c r="E63" s="68"/>
      <c r="F63" s="68"/>
      <c r="G63" s="64"/>
      <c r="H63" s="64"/>
      <c r="I63" s="33"/>
      <c r="J63" s="33"/>
      <c r="K63" s="33"/>
    </row>
    <row r="64" spans="1:11" hidden="1" outlineLevel="1">
      <c r="A64" s="33"/>
      <c r="B64" s="65">
        <v>52</v>
      </c>
      <c r="C64" s="68"/>
      <c r="D64" s="68"/>
      <c r="E64" s="68"/>
      <c r="F64" s="68"/>
      <c r="G64" s="64"/>
      <c r="H64" s="64"/>
      <c r="I64" s="33"/>
      <c r="J64" s="33"/>
      <c r="K64" s="33"/>
    </row>
    <row r="65" spans="1:11" hidden="1" outlineLevel="1">
      <c r="A65" s="33"/>
      <c r="B65" s="62">
        <v>53</v>
      </c>
      <c r="C65" s="68"/>
      <c r="D65" s="68"/>
      <c r="E65" s="68"/>
      <c r="F65" s="68"/>
      <c r="G65" s="64"/>
      <c r="H65" s="64"/>
      <c r="I65" s="33"/>
      <c r="J65" s="33"/>
      <c r="K65" s="33"/>
    </row>
    <row r="66" spans="1:11" hidden="1" outlineLevel="1">
      <c r="A66" s="33"/>
      <c r="B66" s="65">
        <v>54</v>
      </c>
      <c r="C66" s="68"/>
      <c r="D66" s="68"/>
      <c r="E66" s="68"/>
      <c r="F66" s="68"/>
      <c r="G66" s="64"/>
      <c r="H66" s="64"/>
      <c r="I66" s="33"/>
      <c r="J66" s="33"/>
      <c r="K66" s="33"/>
    </row>
    <row r="67" spans="1:11" hidden="1" outlineLevel="1">
      <c r="A67" s="33"/>
      <c r="B67" s="62">
        <v>55</v>
      </c>
      <c r="C67" s="68"/>
      <c r="D67" s="68"/>
      <c r="E67" s="68"/>
      <c r="F67" s="68"/>
      <c r="G67" s="64"/>
      <c r="H67" s="64"/>
      <c r="I67" s="33"/>
      <c r="J67" s="33"/>
      <c r="K67" s="33"/>
    </row>
    <row r="68" spans="1:11" hidden="1" outlineLevel="1">
      <c r="A68" s="33"/>
      <c r="B68" s="65">
        <v>56</v>
      </c>
      <c r="C68" s="68"/>
      <c r="D68" s="68"/>
      <c r="E68" s="68"/>
      <c r="F68" s="68"/>
      <c r="G68" s="64"/>
      <c r="H68" s="64"/>
      <c r="I68" s="33"/>
      <c r="J68" s="33"/>
      <c r="K68" s="33"/>
    </row>
    <row r="69" spans="1:11" hidden="1" outlineLevel="1">
      <c r="A69" s="33"/>
      <c r="B69" s="62">
        <v>57</v>
      </c>
      <c r="C69" s="68"/>
      <c r="D69" s="68"/>
      <c r="E69" s="68"/>
      <c r="F69" s="68"/>
      <c r="G69" s="64"/>
      <c r="H69" s="64"/>
      <c r="I69" s="33"/>
      <c r="J69" s="33"/>
      <c r="K69" s="33"/>
    </row>
    <row r="70" spans="1:11" hidden="1" outlineLevel="1">
      <c r="A70" s="33"/>
      <c r="B70" s="65">
        <v>58</v>
      </c>
      <c r="C70" s="68"/>
      <c r="D70" s="68"/>
      <c r="E70" s="68"/>
      <c r="F70" s="68"/>
      <c r="G70" s="64"/>
      <c r="H70" s="64"/>
      <c r="I70" s="33"/>
      <c r="J70" s="33"/>
      <c r="K70" s="33"/>
    </row>
    <row r="71" spans="1:11" hidden="1" outlineLevel="1">
      <c r="A71" s="33"/>
      <c r="B71" s="62">
        <v>59</v>
      </c>
      <c r="C71" s="68"/>
      <c r="D71" s="68"/>
      <c r="E71" s="68"/>
      <c r="F71" s="68"/>
      <c r="G71" s="64"/>
      <c r="H71" s="64"/>
      <c r="I71" s="33"/>
      <c r="J71" s="33"/>
      <c r="K71" s="33"/>
    </row>
    <row r="72" spans="1:11" hidden="1" outlineLevel="1">
      <c r="A72" s="33"/>
      <c r="B72" s="65">
        <v>60</v>
      </c>
      <c r="C72" s="68"/>
      <c r="D72" s="68"/>
      <c r="E72" s="68"/>
      <c r="F72" s="68"/>
      <c r="G72" s="64"/>
      <c r="H72" s="64"/>
      <c r="I72" s="33"/>
      <c r="J72" s="33"/>
      <c r="K72" s="33"/>
    </row>
    <row r="73" spans="1:11" hidden="1" outlineLevel="1">
      <c r="A73" s="33"/>
      <c r="B73" s="62">
        <v>61</v>
      </c>
      <c r="C73" s="68"/>
      <c r="D73" s="68"/>
      <c r="E73" s="68"/>
      <c r="F73" s="68"/>
      <c r="G73" s="64"/>
      <c r="H73" s="64"/>
      <c r="I73" s="33"/>
      <c r="J73" s="33"/>
      <c r="K73" s="33"/>
    </row>
    <row r="74" spans="1:11" hidden="1" outlineLevel="1">
      <c r="A74" s="33"/>
      <c r="B74" s="65">
        <v>62</v>
      </c>
      <c r="C74" s="68"/>
      <c r="D74" s="68"/>
      <c r="E74" s="68"/>
      <c r="F74" s="68"/>
      <c r="G74" s="64"/>
      <c r="H74" s="64"/>
      <c r="I74" s="33"/>
      <c r="J74" s="33"/>
      <c r="K74" s="33"/>
    </row>
    <row r="75" spans="1:11" hidden="1" outlineLevel="1">
      <c r="A75" s="33"/>
      <c r="B75" s="62">
        <v>63</v>
      </c>
      <c r="C75" s="68"/>
      <c r="D75" s="68"/>
      <c r="E75" s="68"/>
      <c r="F75" s="68"/>
      <c r="G75" s="64"/>
      <c r="H75" s="64"/>
      <c r="I75" s="33"/>
      <c r="J75" s="33"/>
      <c r="K75" s="33"/>
    </row>
    <row r="76" spans="1:11" hidden="1" outlineLevel="1">
      <c r="A76" s="33"/>
      <c r="B76" s="65">
        <v>64</v>
      </c>
      <c r="C76" s="68"/>
      <c r="D76" s="68"/>
      <c r="E76" s="68"/>
      <c r="F76" s="68"/>
      <c r="G76" s="64"/>
      <c r="H76" s="64"/>
      <c r="I76" s="33"/>
      <c r="J76" s="33"/>
      <c r="K76" s="33"/>
    </row>
    <row r="77" spans="1:11" hidden="1" outlineLevel="1">
      <c r="A77" s="33"/>
      <c r="B77" s="62">
        <v>65</v>
      </c>
      <c r="C77" s="68"/>
      <c r="D77" s="68"/>
      <c r="E77" s="68"/>
      <c r="F77" s="68"/>
      <c r="G77" s="64"/>
      <c r="H77" s="64"/>
      <c r="I77" s="33"/>
      <c r="J77" s="33"/>
      <c r="K77" s="33"/>
    </row>
    <row r="78" spans="1:11" hidden="1" outlineLevel="1">
      <c r="A78" s="33"/>
      <c r="B78" s="65">
        <v>66</v>
      </c>
      <c r="C78" s="68"/>
      <c r="D78" s="68"/>
      <c r="E78" s="68"/>
      <c r="F78" s="68"/>
      <c r="G78" s="64"/>
      <c r="H78" s="64"/>
      <c r="I78" s="33"/>
      <c r="J78" s="33"/>
      <c r="K78" s="33"/>
    </row>
    <row r="79" spans="1:11" hidden="1" outlineLevel="1">
      <c r="A79" s="33"/>
      <c r="B79" s="62">
        <v>67</v>
      </c>
      <c r="C79" s="68"/>
      <c r="D79" s="68"/>
      <c r="E79" s="68"/>
      <c r="F79" s="68"/>
      <c r="G79" s="64"/>
      <c r="H79" s="64"/>
      <c r="I79" s="33"/>
      <c r="J79" s="33"/>
      <c r="K79" s="33"/>
    </row>
    <row r="80" spans="1:11" hidden="1" outlineLevel="1">
      <c r="A80" s="33"/>
      <c r="B80" s="65">
        <v>68</v>
      </c>
      <c r="C80" s="68"/>
      <c r="D80" s="68"/>
      <c r="E80" s="68"/>
      <c r="F80" s="68"/>
      <c r="G80" s="64"/>
      <c r="H80" s="64"/>
      <c r="I80" s="33"/>
      <c r="J80" s="33"/>
      <c r="K80" s="33"/>
    </row>
    <row r="81" spans="1:11" hidden="1" outlineLevel="1">
      <c r="A81" s="33"/>
      <c r="B81" s="62">
        <v>69</v>
      </c>
      <c r="C81" s="68"/>
      <c r="D81" s="68"/>
      <c r="E81" s="68"/>
      <c r="F81" s="68"/>
      <c r="G81" s="64"/>
      <c r="H81" s="64"/>
      <c r="I81" s="33"/>
      <c r="J81" s="33"/>
      <c r="K81" s="33"/>
    </row>
    <row r="82" spans="1:11" hidden="1" outlineLevel="1">
      <c r="A82" s="33"/>
      <c r="B82" s="65">
        <v>70</v>
      </c>
      <c r="C82" s="68"/>
      <c r="D82" s="68"/>
      <c r="E82" s="68"/>
      <c r="F82" s="68"/>
      <c r="G82" s="64"/>
      <c r="H82" s="64"/>
      <c r="I82" s="33"/>
      <c r="J82" s="33"/>
      <c r="K82" s="33"/>
    </row>
    <row r="83" spans="1:11" hidden="1" outlineLevel="1">
      <c r="A83" s="33"/>
      <c r="B83" s="62">
        <v>71</v>
      </c>
      <c r="C83" s="68"/>
      <c r="D83" s="68"/>
      <c r="E83" s="68"/>
      <c r="F83" s="68"/>
      <c r="G83" s="64"/>
      <c r="H83" s="64"/>
      <c r="I83" s="33"/>
      <c r="J83" s="33"/>
      <c r="K83" s="33"/>
    </row>
    <row r="84" spans="1:11" hidden="1" outlineLevel="1">
      <c r="A84" s="33"/>
      <c r="B84" s="65">
        <v>72</v>
      </c>
      <c r="C84" s="68"/>
      <c r="D84" s="68"/>
      <c r="E84" s="68"/>
      <c r="F84" s="68"/>
      <c r="G84" s="64"/>
      <c r="H84" s="64"/>
      <c r="I84" s="33"/>
      <c r="J84" s="33"/>
      <c r="K84" s="33"/>
    </row>
    <row r="85" spans="1:11" hidden="1" outlineLevel="1">
      <c r="A85" s="33"/>
      <c r="B85" s="62">
        <v>73</v>
      </c>
      <c r="C85" s="68"/>
      <c r="D85" s="68"/>
      <c r="E85" s="68"/>
      <c r="F85" s="68"/>
      <c r="G85" s="64"/>
      <c r="H85" s="64"/>
      <c r="I85" s="33"/>
      <c r="J85" s="33"/>
      <c r="K85" s="33"/>
    </row>
    <row r="86" spans="1:11" hidden="1" outlineLevel="1">
      <c r="A86" s="33"/>
      <c r="B86" s="65">
        <v>74</v>
      </c>
      <c r="C86" s="68"/>
      <c r="D86" s="68"/>
      <c r="E86" s="68"/>
      <c r="F86" s="68"/>
      <c r="G86" s="64"/>
      <c r="H86" s="64"/>
      <c r="I86" s="33"/>
      <c r="J86" s="33"/>
      <c r="K86" s="33"/>
    </row>
    <row r="87" spans="1:11" hidden="1" outlineLevel="1">
      <c r="A87" s="33"/>
      <c r="B87" s="62">
        <v>75</v>
      </c>
      <c r="C87" s="68"/>
      <c r="D87" s="68"/>
      <c r="E87" s="68"/>
      <c r="F87" s="68"/>
      <c r="G87" s="64"/>
      <c r="H87" s="64"/>
      <c r="I87" s="33"/>
      <c r="J87" s="33"/>
      <c r="K87" s="33"/>
    </row>
    <row r="88" spans="1:11" hidden="1" outlineLevel="1">
      <c r="A88" s="33"/>
      <c r="B88" s="65">
        <v>76</v>
      </c>
      <c r="C88" s="68"/>
      <c r="D88" s="68"/>
      <c r="E88" s="68"/>
      <c r="F88" s="68"/>
      <c r="G88" s="64"/>
      <c r="H88" s="64"/>
      <c r="I88" s="33"/>
      <c r="J88" s="33"/>
      <c r="K88" s="33"/>
    </row>
    <row r="89" spans="1:11" hidden="1" outlineLevel="1">
      <c r="A89" s="33"/>
      <c r="B89" s="62">
        <v>77</v>
      </c>
      <c r="C89" s="68"/>
      <c r="D89" s="68"/>
      <c r="E89" s="68"/>
      <c r="F89" s="68"/>
      <c r="G89" s="64"/>
      <c r="H89" s="64"/>
      <c r="I89" s="33"/>
      <c r="J89" s="33"/>
      <c r="K89" s="33"/>
    </row>
    <row r="90" spans="1:11" hidden="1" outlineLevel="1">
      <c r="A90" s="33"/>
      <c r="B90" s="65">
        <v>78</v>
      </c>
      <c r="C90" s="68"/>
      <c r="D90" s="68"/>
      <c r="E90" s="68"/>
      <c r="F90" s="68"/>
      <c r="G90" s="64"/>
      <c r="H90" s="64"/>
      <c r="I90" s="33"/>
      <c r="J90" s="33"/>
      <c r="K90" s="33"/>
    </row>
    <row r="91" spans="1:11" hidden="1" outlineLevel="1">
      <c r="A91" s="33"/>
      <c r="B91" s="62">
        <v>79</v>
      </c>
      <c r="C91" s="68"/>
      <c r="D91" s="68"/>
      <c r="E91" s="68"/>
      <c r="F91" s="68"/>
      <c r="G91" s="64"/>
      <c r="H91" s="64"/>
      <c r="I91" s="33"/>
      <c r="J91" s="33"/>
      <c r="K91" s="33"/>
    </row>
    <row r="92" spans="1:11" hidden="1" outlineLevel="1">
      <c r="A92" s="33"/>
      <c r="B92" s="65">
        <v>80</v>
      </c>
      <c r="C92" s="68"/>
      <c r="D92" s="68"/>
      <c r="E92" s="68"/>
      <c r="F92" s="68"/>
      <c r="G92" s="64"/>
      <c r="H92" s="64"/>
      <c r="I92" s="33"/>
      <c r="J92" s="33"/>
      <c r="K92" s="33"/>
    </row>
    <row r="93" spans="1:11" hidden="1" outlineLevel="1">
      <c r="A93" s="33"/>
      <c r="B93" s="62">
        <v>81</v>
      </c>
      <c r="C93" s="68"/>
      <c r="D93" s="68"/>
      <c r="E93" s="68"/>
      <c r="F93" s="68"/>
      <c r="G93" s="64"/>
      <c r="H93" s="64"/>
      <c r="I93" s="33"/>
      <c r="J93" s="33"/>
      <c r="K93" s="33"/>
    </row>
    <row r="94" spans="1:11" hidden="1" outlineLevel="1">
      <c r="A94" s="33"/>
      <c r="B94" s="65">
        <v>82</v>
      </c>
      <c r="C94" s="68"/>
      <c r="D94" s="68"/>
      <c r="E94" s="68"/>
      <c r="F94" s="68"/>
      <c r="G94" s="64"/>
      <c r="H94" s="64"/>
      <c r="I94" s="33"/>
      <c r="J94" s="33"/>
      <c r="K94" s="33"/>
    </row>
    <row r="95" spans="1:11" hidden="1" outlineLevel="1">
      <c r="A95" s="33"/>
      <c r="B95" s="62">
        <v>83</v>
      </c>
      <c r="C95" s="68"/>
      <c r="D95" s="68"/>
      <c r="E95" s="68"/>
      <c r="F95" s="68"/>
      <c r="G95" s="64"/>
      <c r="H95" s="64"/>
      <c r="I95" s="33"/>
      <c r="J95" s="33"/>
      <c r="K95" s="33"/>
    </row>
    <row r="96" spans="1:11" hidden="1" outlineLevel="1">
      <c r="A96" s="33"/>
      <c r="B96" s="65">
        <v>84</v>
      </c>
      <c r="C96" s="68"/>
      <c r="D96" s="68"/>
      <c r="E96" s="68"/>
      <c r="F96" s="68"/>
      <c r="G96" s="64"/>
      <c r="H96" s="64"/>
      <c r="I96" s="33"/>
      <c r="J96" s="33"/>
      <c r="K96" s="33"/>
    </row>
    <row r="97" spans="1:11" hidden="1" outlineLevel="1">
      <c r="A97" s="33"/>
      <c r="B97" s="62">
        <v>85</v>
      </c>
      <c r="C97" s="68"/>
      <c r="D97" s="68"/>
      <c r="E97" s="68"/>
      <c r="F97" s="68"/>
      <c r="G97" s="64"/>
      <c r="H97" s="64"/>
      <c r="I97" s="33"/>
      <c r="J97" s="33"/>
      <c r="K97" s="33"/>
    </row>
    <row r="98" spans="1:11" hidden="1" outlineLevel="1">
      <c r="A98" s="33"/>
      <c r="B98" s="65">
        <v>86</v>
      </c>
      <c r="C98" s="68"/>
      <c r="D98" s="68"/>
      <c r="E98" s="68"/>
      <c r="F98" s="68"/>
      <c r="G98" s="64"/>
      <c r="H98" s="64"/>
      <c r="I98" s="33"/>
      <c r="J98" s="33"/>
      <c r="K98" s="33"/>
    </row>
    <row r="99" spans="1:11" hidden="1" outlineLevel="1">
      <c r="A99" s="33"/>
      <c r="B99" s="62">
        <v>87</v>
      </c>
      <c r="C99" s="68"/>
      <c r="D99" s="68"/>
      <c r="E99" s="68"/>
      <c r="F99" s="68"/>
      <c r="G99" s="64"/>
      <c r="H99" s="64"/>
      <c r="I99" s="33"/>
      <c r="J99" s="33"/>
      <c r="K99" s="33"/>
    </row>
    <row r="100" spans="1:11" hidden="1" outlineLevel="1">
      <c r="A100" s="33"/>
      <c r="B100" s="65">
        <v>88</v>
      </c>
      <c r="C100" s="68"/>
      <c r="D100" s="68"/>
      <c r="E100" s="68"/>
      <c r="F100" s="68"/>
      <c r="G100" s="64"/>
      <c r="H100" s="64"/>
      <c r="I100" s="33"/>
      <c r="J100" s="33"/>
      <c r="K100" s="33"/>
    </row>
    <row r="101" spans="1:11" hidden="1" outlineLevel="1">
      <c r="A101" s="33"/>
      <c r="B101" s="62">
        <v>89</v>
      </c>
      <c r="C101" s="68"/>
      <c r="D101" s="68"/>
      <c r="E101" s="68"/>
      <c r="F101" s="68"/>
      <c r="G101" s="64"/>
      <c r="H101" s="64"/>
      <c r="I101" s="33"/>
      <c r="J101" s="33"/>
      <c r="K101" s="33"/>
    </row>
    <row r="102" spans="1:11" hidden="1" outlineLevel="1">
      <c r="A102" s="33"/>
      <c r="B102" s="65">
        <v>90</v>
      </c>
      <c r="C102" s="68"/>
      <c r="D102" s="68"/>
      <c r="E102" s="68"/>
      <c r="F102" s="68"/>
      <c r="G102" s="64"/>
      <c r="H102" s="64"/>
      <c r="I102" s="33"/>
      <c r="J102" s="33"/>
      <c r="K102" s="33"/>
    </row>
    <row r="103" spans="1:11" hidden="1" outlineLevel="1">
      <c r="A103" s="33"/>
      <c r="B103" s="62">
        <v>91</v>
      </c>
      <c r="C103" s="68"/>
      <c r="D103" s="68"/>
      <c r="E103" s="68"/>
      <c r="F103" s="68"/>
      <c r="G103" s="64"/>
      <c r="H103" s="64"/>
      <c r="I103" s="33"/>
      <c r="J103" s="33"/>
      <c r="K103" s="33"/>
    </row>
    <row r="104" spans="1:11" hidden="1" outlineLevel="1">
      <c r="A104" s="33"/>
      <c r="B104" s="65">
        <v>92</v>
      </c>
      <c r="C104" s="68"/>
      <c r="D104" s="68"/>
      <c r="E104" s="68"/>
      <c r="F104" s="68"/>
      <c r="G104" s="64"/>
      <c r="H104" s="64"/>
      <c r="I104" s="33"/>
      <c r="J104" s="33"/>
      <c r="K104" s="33"/>
    </row>
    <row r="105" spans="1:11" hidden="1" outlineLevel="1">
      <c r="A105" s="33"/>
      <c r="B105" s="62">
        <v>93</v>
      </c>
      <c r="C105" s="68"/>
      <c r="D105" s="68"/>
      <c r="E105" s="68"/>
      <c r="F105" s="68"/>
      <c r="G105" s="64"/>
      <c r="H105" s="64"/>
      <c r="I105" s="33"/>
      <c r="J105" s="33"/>
      <c r="K105" s="33"/>
    </row>
    <row r="106" spans="1:11" hidden="1" outlineLevel="1">
      <c r="A106" s="33"/>
      <c r="B106" s="65">
        <v>94</v>
      </c>
      <c r="C106" s="68"/>
      <c r="D106" s="68"/>
      <c r="E106" s="68"/>
      <c r="F106" s="68"/>
      <c r="G106" s="64"/>
      <c r="H106" s="64"/>
      <c r="I106" s="33"/>
      <c r="J106" s="33"/>
      <c r="K106" s="33"/>
    </row>
    <row r="107" spans="1:11" hidden="1" outlineLevel="1">
      <c r="A107" s="33"/>
      <c r="B107" s="62">
        <v>95</v>
      </c>
      <c r="C107" s="68"/>
      <c r="D107" s="68"/>
      <c r="E107" s="68"/>
      <c r="F107" s="68"/>
      <c r="G107" s="64"/>
      <c r="H107" s="64"/>
      <c r="I107" s="33"/>
      <c r="J107" s="33"/>
      <c r="K107" s="33"/>
    </row>
    <row r="108" spans="1:11" hidden="1" outlineLevel="1">
      <c r="A108" s="33"/>
      <c r="B108" s="65">
        <v>96</v>
      </c>
      <c r="C108" s="68"/>
      <c r="D108" s="68"/>
      <c r="E108" s="68"/>
      <c r="F108" s="68"/>
      <c r="G108" s="64"/>
      <c r="H108" s="64"/>
      <c r="I108" s="33"/>
      <c r="J108" s="33"/>
      <c r="K108" s="33"/>
    </row>
    <row r="109" spans="1:11" hidden="1" outlineLevel="1">
      <c r="A109" s="33"/>
      <c r="B109" s="62">
        <v>97</v>
      </c>
      <c r="C109" s="68"/>
      <c r="D109" s="68"/>
      <c r="E109" s="68"/>
      <c r="F109" s="68"/>
      <c r="G109" s="64"/>
      <c r="H109" s="64"/>
      <c r="I109" s="33"/>
      <c r="J109" s="33"/>
      <c r="K109" s="33"/>
    </row>
    <row r="110" spans="1:11" hidden="1" outlineLevel="1">
      <c r="A110" s="33"/>
      <c r="B110" s="65">
        <v>98</v>
      </c>
      <c r="C110" s="68"/>
      <c r="D110" s="68"/>
      <c r="E110" s="68"/>
      <c r="F110" s="68"/>
      <c r="G110" s="64"/>
      <c r="H110" s="64"/>
      <c r="I110" s="33"/>
      <c r="J110" s="33"/>
      <c r="K110" s="33"/>
    </row>
    <row r="111" spans="1:11" hidden="1" outlineLevel="1">
      <c r="A111" s="33"/>
      <c r="B111" s="62">
        <v>99</v>
      </c>
      <c r="C111" s="68"/>
      <c r="D111" s="68"/>
      <c r="E111" s="68"/>
      <c r="F111" s="68"/>
      <c r="G111" s="64"/>
      <c r="H111" s="64"/>
      <c r="I111" s="33"/>
      <c r="J111" s="33"/>
      <c r="K111" s="33"/>
    </row>
    <row r="112" spans="1:11" hidden="1" outlineLevel="1">
      <c r="A112" s="33"/>
      <c r="B112" s="65">
        <v>100</v>
      </c>
      <c r="C112" s="68"/>
      <c r="D112" s="68"/>
      <c r="E112" s="68"/>
      <c r="F112" s="68"/>
      <c r="G112" s="64"/>
      <c r="H112" s="64"/>
      <c r="I112" s="33"/>
      <c r="J112" s="33"/>
      <c r="K112" s="33"/>
    </row>
    <row r="113" spans="1:11" hidden="1" outlineLevel="1">
      <c r="A113" s="33"/>
      <c r="B113" s="62">
        <v>101</v>
      </c>
      <c r="C113" s="68"/>
      <c r="D113" s="68"/>
      <c r="E113" s="68"/>
      <c r="F113" s="68"/>
      <c r="G113" s="64"/>
      <c r="H113" s="64"/>
      <c r="I113" s="33"/>
      <c r="J113" s="33"/>
      <c r="K113" s="33"/>
    </row>
    <row r="114" spans="1:11" hidden="1" outlineLevel="1">
      <c r="A114" s="33"/>
      <c r="B114" s="65">
        <v>102</v>
      </c>
      <c r="C114" s="68"/>
      <c r="D114" s="68"/>
      <c r="E114" s="68"/>
      <c r="F114" s="68"/>
      <c r="G114" s="64"/>
      <c r="H114" s="64"/>
      <c r="I114" s="33"/>
      <c r="J114" s="33"/>
      <c r="K114" s="33"/>
    </row>
    <row r="115" spans="1:11" hidden="1" outlineLevel="1">
      <c r="A115" s="33"/>
      <c r="B115" s="62">
        <v>103</v>
      </c>
      <c r="C115" s="68"/>
      <c r="D115" s="68"/>
      <c r="E115" s="68"/>
      <c r="F115" s="68"/>
      <c r="G115" s="64"/>
      <c r="H115" s="64"/>
      <c r="I115" s="33"/>
      <c r="J115" s="33"/>
      <c r="K115" s="33"/>
    </row>
    <row r="116" spans="1:11" hidden="1" outlineLevel="1">
      <c r="A116" s="33"/>
      <c r="B116" s="65">
        <v>104</v>
      </c>
      <c r="C116" s="68"/>
      <c r="D116" s="68"/>
      <c r="E116" s="68"/>
      <c r="F116" s="68"/>
      <c r="G116" s="64"/>
      <c r="H116" s="64"/>
      <c r="I116" s="33"/>
      <c r="J116" s="33"/>
      <c r="K116" s="33"/>
    </row>
    <row r="117" spans="1:11" hidden="1" outlineLevel="1">
      <c r="A117" s="33"/>
      <c r="B117" s="62">
        <v>105</v>
      </c>
      <c r="C117" s="68"/>
      <c r="D117" s="68"/>
      <c r="E117" s="68"/>
      <c r="F117" s="68"/>
      <c r="G117" s="64"/>
      <c r="H117" s="64"/>
      <c r="I117" s="33"/>
      <c r="J117" s="33"/>
      <c r="K117" s="33"/>
    </row>
    <row r="118" spans="1:11" hidden="1" outlineLevel="1">
      <c r="A118" s="33"/>
      <c r="B118" s="65">
        <v>106</v>
      </c>
      <c r="C118" s="68"/>
      <c r="D118" s="68"/>
      <c r="E118" s="68"/>
      <c r="F118" s="68"/>
      <c r="G118" s="64"/>
      <c r="H118" s="64"/>
      <c r="I118" s="33"/>
      <c r="J118" s="33"/>
      <c r="K118" s="33"/>
    </row>
    <row r="119" spans="1:11" hidden="1" outlineLevel="1">
      <c r="A119" s="33"/>
      <c r="B119" s="62">
        <v>107</v>
      </c>
      <c r="C119" s="68"/>
      <c r="D119" s="68"/>
      <c r="E119" s="68"/>
      <c r="F119" s="68"/>
      <c r="G119" s="64"/>
      <c r="H119" s="64"/>
      <c r="I119" s="33"/>
      <c r="J119" s="33"/>
      <c r="K119" s="33"/>
    </row>
    <row r="120" spans="1:11" hidden="1" outlineLevel="1">
      <c r="A120" s="33"/>
      <c r="B120" s="65">
        <v>108</v>
      </c>
      <c r="C120" s="68"/>
      <c r="D120" s="68"/>
      <c r="E120" s="68"/>
      <c r="F120" s="68"/>
      <c r="G120" s="64"/>
      <c r="H120" s="64"/>
      <c r="I120" s="33"/>
      <c r="J120" s="33"/>
      <c r="K120" s="33"/>
    </row>
    <row r="121" spans="1:11" hidden="1" outlineLevel="1">
      <c r="A121" s="33"/>
      <c r="B121" s="62">
        <v>109</v>
      </c>
      <c r="C121" s="68"/>
      <c r="D121" s="68"/>
      <c r="E121" s="68"/>
      <c r="F121" s="68"/>
      <c r="G121" s="64"/>
      <c r="H121" s="64"/>
      <c r="I121" s="33"/>
      <c r="J121" s="33"/>
      <c r="K121" s="33"/>
    </row>
    <row r="122" spans="1:11" hidden="1" outlineLevel="1">
      <c r="A122" s="33"/>
      <c r="B122" s="65">
        <v>110</v>
      </c>
      <c r="C122" s="68"/>
      <c r="D122" s="68"/>
      <c r="E122" s="68"/>
      <c r="F122" s="68"/>
      <c r="G122" s="64"/>
      <c r="H122" s="64"/>
      <c r="I122" s="33"/>
      <c r="J122" s="33"/>
      <c r="K122" s="33"/>
    </row>
    <row r="123" spans="1:11" hidden="1" outlineLevel="1">
      <c r="A123" s="33"/>
      <c r="B123" s="62">
        <v>111</v>
      </c>
      <c r="C123" s="68"/>
      <c r="D123" s="68"/>
      <c r="E123" s="68"/>
      <c r="F123" s="68"/>
      <c r="G123" s="64"/>
      <c r="H123" s="64"/>
      <c r="I123" s="33"/>
      <c r="J123" s="33"/>
      <c r="K123" s="33"/>
    </row>
    <row r="124" spans="1:11" hidden="1" outlineLevel="1">
      <c r="A124" s="33"/>
      <c r="B124" s="65">
        <v>112</v>
      </c>
      <c r="C124" s="68"/>
      <c r="D124" s="68"/>
      <c r="E124" s="68"/>
      <c r="F124" s="68"/>
      <c r="G124" s="64"/>
      <c r="H124" s="64"/>
      <c r="I124" s="33"/>
      <c r="J124" s="33"/>
      <c r="K124" s="33"/>
    </row>
    <row r="125" spans="1:11" hidden="1" outlineLevel="1">
      <c r="A125" s="33"/>
      <c r="B125" s="62">
        <v>113</v>
      </c>
      <c r="C125" s="68"/>
      <c r="D125" s="68"/>
      <c r="E125" s="68"/>
      <c r="F125" s="68"/>
      <c r="G125" s="64"/>
      <c r="H125" s="64"/>
      <c r="I125" s="33"/>
      <c r="J125" s="33"/>
      <c r="K125" s="33"/>
    </row>
    <row r="126" spans="1:11" hidden="1" outlineLevel="1">
      <c r="A126" s="33"/>
      <c r="B126" s="65">
        <v>114</v>
      </c>
      <c r="C126" s="68"/>
      <c r="D126" s="68"/>
      <c r="E126" s="68"/>
      <c r="F126" s="68"/>
      <c r="G126" s="64"/>
      <c r="H126" s="64"/>
      <c r="I126" s="33"/>
      <c r="J126" s="33"/>
      <c r="K126" s="33"/>
    </row>
    <row r="127" spans="1:11" hidden="1" outlineLevel="1">
      <c r="A127" s="33"/>
      <c r="B127" s="62">
        <v>115</v>
      </c>
      <c r="C127" s="68"/>
      <c r="D127" s="68"/>
      <c r="E127" s="68"/>
      <c r="F127" s="68"/>
      <c r="G127" s="64"/>
      <c r="H127" s="64"/>
      <c r="I127" s="33"/>
      <c r="J127" s="33"/>
      <c r="K127" s="33"/>
    </row>
    <row r="128" spans="1:11" hidden="1" outlineLevel="1">
      <c r="A128" s="33"/>
      <c r="B128" s="65">
        <v>116</v>
      </c>
      <c r="C128" s="68"/>
      <c r="D128" s="68"/>
      <c r="E128" s="68"/>
      <c r="F128" s="68"/>
      <c r="G128" s="64"/>
      <c r="H128" s="64"/>
      <c r="I128" s="33"/>
      <c r="J128" s="33"/>
      <c r="K128" s="33"/>
    </row>
    <row r="129" spans="1:11" hidden="1" outlineLevel="1">
      <c r="A129" s="33"/>
      <c r="B129" s="62">
        <v>117</v>
      </c>
      <c r="C129" s="68"/>
      <c r="D129" s="68"/>
      <c r="E129" s="68"/>
      <c r="F129" s="68"/>
      <c r="G129" s="64"/>
      <c r="H129" s="64"/>
      <c r="I129" s="33"/>
      <c r="J129" s="33"/>
      <c r="K129" s="33"/>
    </row>
    <row r="130" spans="1:11" hidden="1" outlineLevel="1">
      <c r="A130" s="33"/>
      <c r="B130" s="65">
        <v>118</v>
      </c>
      <c r="C130" s="68"/>
      <c r="D130" s="68"/>
      <c r="E130" s="68"/>
      <c r="F130" s="68"/>
      <c r="G130" s="64"/>
      <c r="H130" s="64"/>
      <c r="I130" s="33"/>
      <c r="J130" s="33"/>
      <c r="K130" s="33"/>
    </row>
    <row r="131" spans="1:11" hidden="1" outlineLevel="1">
      <c r="A131" s="33"/>
      <c r="B131" s="62">
        <v>119</v>
      </c>
      <c r="C131" s="68"/>
      <c r="D131" s="68"/>
      <c r="E131" s="68"/>
      <c r="F131" s="68"/>
      <c r="G131" s="64"/>
      <c r="H131" s="64"/>
      <c r="I131" s="33"/>
      <c r="J131" s="33"/>
      <c r="K131" s="33"/>
    </row>
    <row r="132" spans="1:11" hidden="1" outlineLevel="1">
      <c r="A132" s="33"/>
      <c r="B132" s="65">
        <v>120</v>
      </c>
      <c r="C132" s="68"/>
      <c r="D132" s="68"/>
      <c r="E132" s="68"/>
      <c r="F132" s="68"/>
      <c r="G132" s="64"/>
      <c r="H132" s="64"/>
      <c r="I132" s="33"/>
      <c r="J132" s="33"/>
      <c r="K132" s="33"/>
    </row>
    <row r="133" spans="1:11" hidden="1" outlineLevel="1">
      <c r="A133" s="33"/>
      <c r="B133" s="62">
        <v>121</v>
      </c>
      <c r="C133" s="68"/>
      <c r="D133" s="68"/>
      <c r="E133" s="68"/>
      <c r="F133" s="68"/>
      <c r="G133" s="64"/>
      <c r="H133" s="64"/>
      <c r="I133" s="33"/>
      <c r="J133" s="33"/>
      <c r="K133" s="33"/>
    </row>
    <row r="134" spans="1:11" hidden="1" outlineLevel="1">
      <c r="A134" s="33"/>
      <c r="B134" s="65">
        <v>122</v>
      </c>
      <c r="C134" s="68"/>
      <c r="D134" s="68"/>
      <c r="E134" s="68"/>
      <c r="F134" s="68"/>
      <c r="G134" s="64"/>
      <c r="H134" s="64"/>
      <c r="I134" s="33"/>
      <c r="J134" s="33"/>
      <c r="K134" s="33"/>
    </row>
    <row r="135" spans="1:11" hidden="1" outlineLevel="1">
      <c r="A135" s="33"/>
      <c r="B135" s="62">
        <v>123</v>
      </c>
      <c r="C135" s="68"/>
      <c r="D135" s="68"/>
      <c r="E135" s="68"/>
      <c r="F135" s="68"/>
      <c r="G135" s="64"/>
      <c r="H135" s="64"/>
      <c r="I135" s="33"/>
      <c r="J135" s="33"/>
      <c r="K135" s="33"/>
    </row>
    <row r="136" spans="1:11" hidden="1" outlineLevel="1">
      <c r="A136" s="33"/>
      <c r="B136" s="65">
        <v>124</v>
      </c>
      <c r="C136" s="68"/>
      <c r="D136" s="68"/>
      <c r="E136" s="68"/>
      <c r="F136" s="68"/>
      <c r="G136" s="64"/>
      <c r="H136" s="64"/>
      <c r="I136" s="33"/>
      <c r="J136" s="33"/>
      <c r="K136" s="33"/>
    </row>
    <row r="137" spans="1:11" hidden="1" outlineLevel="1">
      <c r="A137" s="33"/>
      <c r="B137" s="62">
        <v>125</v>
      </c>
      <c r="C137" s="68"/>
      <c r="D137" s="68"/>
      <c r="E137" s="68"/>
      <c r="F137" s="68"/>
      <c r="G137" s="64"/>
      <c r="H137" s="64"/>
      <c r="I137" s="33"/>
      <c r="J137" s="33"/>
      <c r="K137" s="33"/>
    </row>
    <row r="138" spans="1:11" hidden="1" outlineLevel="1">
      <c r="A138" s="33"/>
      <c r="B138" s="65">
        <v>126</v>
      </c>
      <c r="C138" s="68"/>
      <c r="D138" s="68"/>
      <c r="E138" s="68"/>
      <c r="F138" s="68"/>
      <c r="G138" s="64"/>
      <c r="H138" s="64"/>
      <c r="I138" s="33"/>
      <c r="J138" s="33"/>
      <c r="K138" s="33"/>
    </row>
    <row r="139" spans="1:11" hidden="1" outlineLevel="1">
      <c r="A139" s="33"/>
      <c r="B139" s="62">
        <v>127</v>
      </c>
      <c r="C139" s="68"/>
      <c r="D139" s="68"/>
      <c r="E139" s="68"/>
      <c r="F139" s="68"/>
      <c r="G139" s="64"/>
      <c r="H139" s="64"/>
      <c r="I139" s="33"/>
      <c r="J139" s="33"/>
      <c r="K139" s="33"/>
    </row>
    <row r="140" spans="1:11" hidden="1" outlineLevel="1">
      <c r="A140" s="33"/>
      <c r="B140" s="65">
        <v>128</v>
      </c>
      <c r="C140" s="68"/>
      <c r="D140" s="68"/>
      <c r="E140" s="68"/>
      <c r="F140" s="68"/>
      <c r="G140" s="64"/>
      <c r="H140" s="64"/>
      <c r="I140" s="33"/>
      <c r="J140" s="33"/>
      <c r="K140" s="33"/>
    </row>
    <row r="141" spans="1:11" hidden="1" outlineLevel="1">
      <c r="A141" s="33"/>
      <c r="B141" s="62">
        <v>129</v>
      </c>
      <c r="C141" s="68"/>
      <c r="D141" s="68"/>
      <c r="E141" s="68"/>
      <c r="F141" s="68"/>
      <c r="G141" s="64"/>
      <c r="H141" s="64"/>
      <c r="I141" s="33"/>
      <c r="J141" s="33"/>
      <c r="K141" s="33"/>
    </row>
    <row r="142" spans="1:11" hidden="1" outlineLevel="1">
      <c r="A142" s="33"/>
      <c r="B142" s="65">
        <v>130</v>
      </c>
      <c r="C142" s="68"/>
      <c r="D142" s="68"/>
      <c r="E142" s="68"/>
      <c r="F142" s="68"/>
      <c r="G142" s="64"/>
      <c r="H142" s="64"/>
      <c r="I142" s="33"/>
      <c r="J142" s="33"/>
      <c r="K142" s="33"/>
    </row>
    <row r="143" spans="1:11" hidden="1" outlineLevel="1">
      <c r="A143" s="33"/>
      <c r="B143" s="62">
        <v>131</v>
      </c>
      <c r="C143" s="68"/>
      <c r="D143" s="68"/>
      <c r="E143" s="68"/>
      <c r="F143" s="68"/>
      <c r="G143" s="64"/>
      <c r="H143" s="64"/>
      <c r="I143" s="33"/>
      <c r="J143" s="33"/>
      <c r="K143" s="33"/>
    </row>
    <row r="144" spans="1:11" hidden="1" outlineLevel="1">
      <c r="A144" s="33"/>
      <c r="B144" s="65">
        <v>132</v>
      </c>
      <c r="C144" s="68"/>
      <c r="D144" s="68"/>
      <c r="E144" s="68"/>
      <c r="F144" s="68"/>
      <c r="G144" s="64"/>
      <c r="H144" s="64"/>
      <c r="I144" s="33"/>
      <c r="J144" s="33"/>
      <c r="K144" s="33"/>
    </row>
    <row r="145" spans="1:11" hidden="1" outlineLevel="1">
      <c r="A145" s="33"/>
      <c r="B145" s="62">
        <v>133</v>
      </c>
      <c r="C145" s="68"/>
      <c r="D145" s="68"/>
      <c r="E145" s="68"/>
      <c r="F145" s="68"/>
      <c r="G145" s="64"/>
      <c r="H145" s="64"/>
      <c r="I145" s="33"/>
      <c r="J145" s="33"/>
      <c r="K145" s="33"/>
    </row>
    <row r="146" spans="1:11" hidden="1" outlineLevel="1">
      <c r="A146" s="33"/>
      <c r="B146" s="65">
        <v>134</v>
      </c>
      <c r="C146" s="68"/>
      <c r="D146" s="68"/>
      <c r="E146" s="68"/>
      <c r="F146" s="68"/>
      <c r="G146" s="64"/>
      <c r="H146" s="64"/>
      <c r="I146" s="33"/>
      <c r="J146" s="33"/>
      <c r="K146" s="33"/>
    </row>
    <row r="147" spans="1:11" hidden="1" outlineLevel="1">
      <c r="A147" s="33"/>
      <c r="B147" s="62">
        <v>135</v>
      </c>
      <c r="C147" s="68"/>
      <c r="D147" s="68"/>
      <c r="E147" s="68"/>
      <c r="F147" s="68"/>
      <c r="G147" s="64"/>
      <c r="H147" s="64"/>
      <c r="I147" s="33"/>
      <c r="J147" s="33"/>
      <c r="K147" s="33"/>
    </row>
    <row r="148" spans="1:11" hidden="1" outlineLevel="1">
      <c r="A148" s="33"/>
      <c r="B148" s="65">
        <v>136</v>
      </c>
      <c r="C148" s="68"/>
      <c r="D148" s="68"/>
      <c r="E148" s="68"/>
      <c r="F148" s="68"/>
      <c r="G148" s="64"/>
      <c r="H148" s="64"/>
      <c r="I148" s="33"/>
      <c r="J148" s="33"/>
      <c r="K148" s="33"/>
    </row>
    <row r="149" spans="1:11" hidden="1" outlineLevel="1">
      <c r="A149" s="33"/>
      <c r="B149" s="62">
        <v>137</v>
      </c>
      <c r="C149" s="68"/>
      <c r="D149" s="68"/>
      <c r="E149" s="68"/>
      <c r="F149" s="68"/>
      <c r="G149" s="64"/>
      <c r="H149" s="64"/>
      <c r="I149" s="33"/>
      <c r="J149" s="33"/>
      <c r="K149" s="33"/>
    </row>
    <row r="150" spans="1:11" hidden="1" outlineLevel="1">
      <c r="A150" s="33"/>
      <c r="B150" s="65">
        <v>138</v>
      </c>
      <c r="C150" s="68"/>
      <c r="D150" s="68"/>
      <c r="E150" s="68"/>
      <c r="F150" s="68"/>
      <c r="G150" s="64"/>
      <c r="H150" s="64"/>
      <c r="I150" s="33"/>
      <c r="J150" s="33"/>
      <c r="K150" s="33"/>
    </row>
    <row r="151" spans="1:11" hidden="1" outlineLevel="1">
      <c r="A151" s="33"/>
      <c r="B151" s="62">
        <v>139</v>
      </c>
      <c r="C151" s="68"/>
      <c r="D151" s="68"/>
      <c r="E151" s="68"/>
      <c r="F151" s="68"/>
      <c r="G151" s="64"/>
      <c r="H151" s="64"/>
      <c r="I151" s="33"/>
      <c r="J151" s="33"/>
      <c r="K151" s="33"/>
    </row>
    <row r="152" spans="1:11" hidden="1" outlineLevel="1">
      <c r="A152" s="33"/>
      <c r="B152" s="65">
        <v>140</v>
      </c>
      <c r="C152" s="68"/>
      <c r="D152" s="68"/>
      <c r="E152" s="68"/>
      <c r="F152" s="68"/>
      <c r="G152" s="64"/>
      <c r="H152" s="64"/>
      <c r="I152" s="33"/>
      <c r="J152" s="33"/>
      <c r="K152" s="33"/>
    </row>
    <row r="153" spans="1:11" hidden="1" outlineLevel="1">
      <c r="A153" s="33"/>
      <c r="B153" s="62">
        <v>141</v>
      </c>
      <c r="C153" s="68"/>
      <c r="D153" s="68"/>
      <c r="E153" s="68"/>
      <c r="F153" s="68"/>
      <c r="G153" s="64"/>
      <c r="H153" s="64"/>
      <c r="I153" s="33"/>
      <c r="J153" s="33"/>
      <c r="K153" s="33"/>
    </row>
    <row r="154" spans="1:11" hidden="1" outlineLevel="1">
      <c r="A154" s="33"/>
      <c r="B154" s="65">
        <v>142</v>
      </c>
      <c r="C154" s="68"/>
      <c r="D154" s="68"/>
      <c r="E154" s="68"/>
      <c r="F154" s="68"/>
      <c r="G154" s="64"/>
      <c r="H154" s="64"/>
      <c r="I154" s="33"/>
      <c r="J154" s="33"/>
      <c r="K154" s="33"/>
    </row>
    <row r="155" spans="1:11" hidden="1" outlineLevel="1">
      <c r="A155" s="33"/>
      <c r="B155" s="62">
        <v>143</v>
      </c>
      <c r="C155" s="68"/>
      <c r="D155" s="68"/>
      <c r="E155" s="68"/>
      <c r="F155" s="68"/>
      <c r="G155" s="64"/>
      <c r="H155" s="64"/>
      <c r="I155" s="33"/>
      <c r="J155" s="33"/>
      <c r="K155" s="33"/>
    </row>
    <row r="156" spans="1:11" hidden="1" outlineLevel="1">
      <c r="A156" s="33"/>
      <c r="B156" s="65">
        <v>144</v>
      </c>
      <c r="C156" s="68"/>
      <c r="D156" s="68"/>
      <c r="E156" s="68"/>
      <c r="F156" s="68"/>
      <c r="G156" s="64"/>
      <c r="H156" s="64"/>
      <c r="I156" s="33"/>
      <c r="J156" s="33"/>
      <c r="K156" s="33"/>
    </row>
    <row r="157" spans="1:11" hidden="1" outlineLevel="1">
      <c r="A157" s="33"/>
      <c r="B157" s="62">
        <v>145</v>
      </c>
      <c r="C157" s="68"/>
      <c r="D157" s="68"/>
      <c r="E157" s="68"/>
      <c r="F157" s="68"/>
      <c r="G157" s="64"/>
      <c r="H157" s="64"/>
      <c r="I157" s="33"/>
      <c r="J157" s="33"/>
      <c r="K157" s="33"/>
    </row>
    <row r="158" spans="1:11" hidden="1" outlineLevel="1">
      <c r="A158" s="33"/>
      <c r="B158" s="65">
        <v>146</v>
      </c>
      <c r="C158" s="68"/>
      <c r="D158" s="68"/>
      <c r="E158" s="68"/>
      <c r="F158" s="68"/>
      <c r="G158" s="64"/>
      <c r="H158" s="64"/>
      <c r="I158" s="33"/>
      <c r="J158" s="33"/>
      <c r="K158" s="33"/>
    </row>
    <row r="159" spans="1:11" hidden="1" outlineLevel="1">
      <c r="A159" s="33"/>
      <c r="B159" s="62">
        <v>147</v>
      </c>
      <c r="C159" s="68"/>
      <c r="D159" s="68"/>
      <c r="E159" s="68"/>
      <c r="F159" s="68"/>
      <c r="G159" s="64"/>
      <c r="H159" s="64"/>
      <c r="I159" s="33"/>
      <c r="J159" s="33"/>
      <c r="K159" s="33"/>
    </row>
    <row r="160" spans="1:11" hidden="1" outlineLevel="1">
      <c r="A160" s="33"/>
      <c r="B160" s="65">
        <v>148</v>
      </c>
      <c r="C160" s="68"/>
      <c r="D160" s="68"/>
      <c r="E160" s="68"/>
      <c r="F160" s="68"/>
      <c r="G160" s="64"/>
      <c r="H160" s="64"/>
      <c r="I160" s="33"/>
      <c r="J160" s="33"/>
      <c r="K160" s="33"/>
    </row>
    <row r="161" spans="1:11" hidden="1" outlineLevel="1">
      <c r="A161" s="33"/>
      <c r="B161" s="62">
        <v>149</v>
      </c>
      <c r="C161" s="68"/>
      <c r="D161" s="68"/>
      <c r="E161" s="68"/>
      <c r="F161" s="68"/>
      <c r="G161" s="64"/>
      <c r="H161" s="64"/>
      <c r="I161" s="33"/>
      <c r="J161" s="33"/>
      <c r="K161" s="33"/>
    </row>
    <row r="162" spans="1:11" hidden="1" outlineLevel="1">
      <c r="A162" s="33"/>
      <c r="B162" s="65">
        <v>150</v>
      </c>
      <c r="C162" s="68"/>
      <c r="D162" s="68"/>
      <c r="E162" s="68"/>
      <c r="F162" s="68"/>
      <c r="G162" s="64"/>
      <c r="H162" s="64"/>
      <c r="I162" s="33"/>
      <c r="J162" s="33"/>
      <c r="K162" s="33"/>
    </row>
    <row r="163" spans="1:11" hidden="1" outlineLevel="1">
      <c r="A163" s="33"/>
      <c r="B163" s="62">
        <v>151</v>
      </c>
      <c r="C163" s="68"/>
      <c r="D163" s="68"/>
      <c r="E163" s="68"/>
      <c r="F163" s="68"/>
      <c r="G163" s="64"/>
      <c r="H163" s="64"/>
      <c r="I163" s="33"/>
      <c r="J163" s="33"/>
      <c r="K163" s="33"/>
    </row>
    <row r="164" spans="1:11" hidden="1" outlineLevel="1">
      <c r="A164" s="33"/>
      <c r="B164" s="65">
        <v>152</v>
      </c>
      <c r="C164" s="68"/>
      <c r="D164" s="68"/>
      <c r="E164" s="68"/>
      <c r="F164" s="68"/>
      <c r="G164" s="64"/>
      <c r="H164" s="64"/>
      <c r="I164" s="33"/>
      <c r="J164" s="33"/>
      <c r="K164" s="33"/>
    </row>
    <row r="165" spans="1:11" hidden="1" outlineLevel="1">
      <c r="A165" s="33"/>
      <c r="B165" s="62">
        <v>153</v>
      </c>
      <c r="C165" s="68"/>
      <c r="D165" s="68"/>
      <c r="E165" s="68"/>
      <c r="F165" s="68"/>
      <c r="G165" s="64"/>
      <c r="H165" s="64"/>
      <c r="I165" s="33"/>
      <c r="J165" s="33"/>
      <c r="K165" s="33"/>
    </row>
    <row r="166" spans="1:11" hidden="1" outlineLevel="1">
      <c r="A166" s="33"/>
      <c r="B166" s="65">
        <v>154</v>
      </c>
      <c r="C166" s="68"/>
      <c r="D166" s="68"/>
      <c r="E166" s="68"/>
      <c r="F166" s="68"/>
      <c r="G166" s="64"/>
      <c r="H166" s="64"/>
      <c r="I166" s="33"/>
      <c r="J166" s="33"/>
      <c r="K166" s="33"/>
    </row>
    <row r="167" spans="1:11" hidden="1" outlineLevel="1">
      <c r="A167" s="33"/>
      <c r="B167" s="62">
        <v>155</v>
      </c>
      <c r="C167" s="68"/>
      <c r="D167" s="68"/>
      <c r="E167" s="68"/>
      <c r="F167" s="68"/>
      <c r="G167" s="64"/>
      <c r="H167" s="64"/>
      <c r="I167" s="33"/>
      <c r="J167" s="33"/>
      <c r="K167" s="33"/>
    </row>
    <row r="168" spans="1:11" hidden="1" outlineLevel="1">
      <c r="A168" s="33"/>
      <c r="B168" s="65">
        <v>156</v>
      </c>
      <c r="C168" s="68"/>
      <c r="D168" s="68"/>
      <c r="E168" s="68"/>
      <c r="F168" s="68"/>
      <c r="G168" s="64"/>
      <c r="H168" s="64"/>
      <c r="I168" s="33"/>
      <c r="J168" s="33"/>
      <c r="K168" s="33"/>
    </row>
    <row r="169" spans="1:11" hidden="1" outlineLevel="1">
      <c r="A169" s="33"/>
      <c r="B169" s="62">
        <v>157</v>
      </c>
      <c r="C169" s="68"/>
      <c r="D169" s="68"/>
      <c r="E169" s="68"/>
      <c r="F169" s="68"/>
      <c r="G169" s="64"/>
      <c r="H169" s="64"/>
      <c r="I169" s="33"/>
      <c r="J169" s="33"/>
      <c r="K169" s="33"/>
    </row>
    <row r="170" spans="1:11" hidden="1" outlineLevel="1">
      <c r="A170" s="33"/>
      <c r="B170" s="65">
        <v>158</v>
      </c>
      <c r="C170" s="68"/>
      <c r="D170" s="68"/>
      <c r="E170" s="68"/>
      <c r="F170" s="68"/>
      <c r="G170" s="64"/>
      <c r="H170" s="64"/>
      <c r="I170" s="33"/>
      <c r="J170" s="33"/>
      <c r="K170" s="33"/>
    </row>
    <row r="171" spans="1:11" hidden="1" outlineLevel="1">
      <c r="A171" s="33"/>
      <c r="B171" s="62">
        <v>159</v>
      </c>
      <c r="C171" s="68"/>
      <c r="D171" s="68"/>
      <c r="E171" s="68"/>
      <c r="F171" s="68"/>
      <c r="G171" s="64"/>
      <c r="H171" s="64"/>
      <c r="I171" s="33"/>
      <c r="J171" s="33"/>
      <c r="K171" s="33"/>
    </row>
    <row r="172" spans="1:11" hidden="1" outlineLevel="1">
      <c r="A172" s="33"/>
      <c r="B172" s="65">
        <v>160</v>
      </c>
      <c r="C172" s="68"/>
      <c r="D172" s="68"/>
      <c r="E172" s="68"/>
      <c r="F172" s="68"/>
      <c r="G172" s="64"/>
      <c r="H172" s="64"/>
      <c r="I172" s="33"/>
      <c r="J172" s="33"/>
      <c r="K172" s="33"/>
    </row>
    <row r="173" spans="1:11" hidden="1" outlineLevel="1">
      <c r="A173" s="33"/>
      <c r="B173" s="62">
        <v>161</v>
      </c>
      <c r="C173" s="68"/>
      <c r="D173" s="68"/>
      <c r="E173" s="68"/>
      <c r="F173" s="68"/>
      <c r="G173" s="64"/>
      <c r="H173" s="64"/>
      <c r="I173" s="33"/>
      <c r="J173" s="33"/>
      <c r="K173" s="33"/>
    </row>
    <row r="174" spans="1:11" hidden="1" outlineLevel="1">
      <c r="A174" s="33"/>
      <c r="B174" s="65">
        <v>162</v>
      </c>
      <c r="C174" s="68"/>
      <c r="D174" s="68"/>
      <c r="E174" s="68"/>
      <c r="F174" s="68"/>
      <c r="G174" s="64"/>
      <c r="H174" s="64"/>
      <c r="I174" s="33"/>
      <c r="J174" s="33"/>
      <c r="K174" s="33"/>
    </row>
    <row r="175" spans="1:11" hidden="1" outlineLevel="1">
      <c r="A175" s="33"/>
      <c r="B175" s="62">
        <v>163</v>
      </c>
      <c r="C175" s="68"/>
      <c r="D175" s="68"/>
      <c r="E175" s="68"/>
      <c r="F175" s="68"/>
      <c r="G175" s="64"/>
      <c r="H175" s="64"/>
      <c r="I175" s="33"/>
      <c r="J175" s="33"/>
      <c r="K175" s="33"/>
    </row>
    <row r="176" spans="1:11" hidden="1" outlineLevel="1">
      <c r="A176" s="33"/>
      <c r="B176" s="65">
        <v>164</v>
      </c>
      <c r="C176" s="68"/>
      <c r="D176" s="68"/>
      <c r="E176" s="68"/>
      <c r="F176" s="68"/>
      <c r="G176" s="64"/>
      <c r="H176" s="64"/>
      <c r="I176" s="33"/>
      <c r="J176" s="33"/>
      <c r="K176" s="33"/>
    </row>
    <row r="177" spans="1:11" hidden="1" outlineLevel="1">
      <c r="A177" s="33"/>
      <c r="B177" s="62">
        <v>165</v>
      </c>
      <c r="C177" s="68"/>
      <c r="D177" s="68"/>
      <c r="E177" s="68"/>
      <c r="F177" s="68"/>
      <c r="G177" s="64"/>
      <c r="H177" s="64"/>
      <c r="I177" s="33"/>
      <c r="J177" s="33"/>
      <c r="K177" s="33"/>
    </row>
    <row r="178" spans="1:11" hidden="1" outlineLevel="1">
      <c r="A178" s="33"/>
      <c r="B178" s="65">
        <v>166</v>
      </c>
      <c r="C178" s="68"/>
      <c r="D178" s="68"/>
      <c r="E178" s="68"/>
      <c r="F178" s="68"/>
      <c r="G178" s="64"/>
      <c r="H178" s="64"/>
      <c r="I178" s="33"/>
      <c r="J178" s="33"/>
      <c r="K178" s="33"/>
    </row>
    <row r="179" spans="1:11" hidden="1" outlineLevel="1">
      <c r="A179" s="33"/>
      <c r="B179" s="62">
        <v>167</v>
      </c>
      <c r="C179" s="68"/>
      <c r="D179" s="68"/>
      <c r="E179" s="68"/>
      <c r="F179" s="68"/>
      <c r="G179" s="64"/>
      <c r="H179" s="64"/>
      <c r="I179" s="33"/>
      <c r="J179" s="33"/>
      <c r="K179" s="33"/>
    </row>
    <row r="180" spans="1:11" hidden="1" outlineLevel="1">
      <c r="A180" s="33"/>
      <c r="B180" s="65">
        <v>168</v>
      </c>
      <c r="C180" s="68"/>
      <c r="D180" s="68"/>
      <c r="E180" s="68"/>
      <c r="F180" s="68"/>
      <c r="G180" s="64"/>
      <c r="H180" s="64"/>
      <c r="I180" s="33"/>
      <c r="J180" s="33"/>
      <c r="K180" s="33"/>
    </row>
    <row r="181" spans="1:11" hidden="1" outlineLevel="1">
      <c r="A181" s="33"/>
      <c r="B181" s="62">
        <v>169</v>
      </c>
      <c r="C181" s="68"/>
      <c r="D181" s="68"/>
      <c r="E181" s="68"/>
      <c r="F181" s="68"/>
      <c r="G181" s="64"/>
      <c r="H181" s="64"/>
      <c r="I181" s="33"/>
      <c r="J181" s="33"/>
      <c r="K181" s="33"/>
    </row>
    <row r="182" spans="1:11" hidden="1" outlineLevel="1">
      <c r="A182" s="33"/>
      <c r="B182" s="65">
        <v>170</v>
      </c>
      <c r="C182" s="68"/>
      <c r="D182" s="68"/>
      <c r="E182" s="68"/>
      <c r="F182" s="68"/>
      <c r="G182" s="64"/>
      <c r="H182" s="64"/>
      <c r="I182" s="33"/>
      <c r="J182" s="33"/>
      <c r="K182" s="33"/>
    </row>
    <row r="183" spans="1:11" hidden="1" outlineLevel="1">
      <c r="A183" s="33"/>
      <c r="B183" s="62">
        <v>171</v>
      </c>
      <c r="C183" s="68"/>
      <c r="D183" s="68"/>
      <c r="E183" s="68"/>
      <c r="F183" s="68"/>
      <c r="G183" s="64"/>
      <c r="H183" s="64"/>
      <c r="I183" s="33"/>
      <c r="J183" s="33"/>
      <c r="K183" s="33"/>
    </row>
    <row r="184" spans="1:11" hidden="1" outlineLevel="1">
      <c r="A184" s="33"/>
      <c r="B184" s="65">
        <v>172</v>
      </c>
      <c r="C184" s="68"/>
      <c r="D184" s="68"/>
      <c r="E184" s="68"/>
      <c r="F184" s="68"/>
      <c r="G184" s="64"/>
      <c r="H184" s="64"/>
      <c r="I184" s="33"/>
      <c r="J184" s="33"/>
      <c r="K184" s="33"/>
    </row>
    <row r="185" spans="1:11" hidden="1" outlineLevel="1">
      <c r="A185" s="33"/>
      <c r="B185" s="62">
        <v>173</v>
      </c>
      <c r="C185" s="68"/>
      <c r="D185" s="68"/>
      <c r="E185" s="68"/>
      <c r="F185" s="68"/>
      <c r="G185" s="64"/>
      <c r="H185" s="64"/>
      <c r="I185" s="33"/>
      <c r="J185" s="33"/>
      <c r="K185" s="33"/>
    </row>
    <row r="186" spans="1:11" hidden="1" outlineLevel="1">
      <c r="A186" s="33"/>
      <c r="B186" s="65">
        <v>174</v>
      </c>
      <c r="C186" s="68"/>
      <c r="D186" s="68"/>
      <c r="E186" s="68"/>
      <c r="F186" s="68"/>
      <c r="G186" s="64"/>
      <c r="H186" s="64"/>
      <c r="I186" s="33"/>
      <c r="J186" s="33"/>
      <c r="K186" s="33"/>
    </row>
    <row r="187" spans="1:11" hidden="1" outlineLevel="1">
      <c r="A187" s="33"/>
      <c r="B187" s="62">
        <v>175</v>
      </c>
      <c r="C187" s="68"/>
      <c r="D187" s="68"/>
      <c r="E187" s="68"/>
      <c r="F187" s="68"/>
      <c r="G187" s="64"/>
      <c r="H187" s="64"/>
      <c r="I187" s="33"/>
      <c r="J187" s="33"/>
      <c r="K187" s="33"/>
    </row>
    <row r="188" spans="1:11" hidden="1" outlineLevel="1">
      <c r="A188" s="33"/>
      <c r="B188" s="65">
        <v>176</v>
      </c>
      <c r="C188" s="68"/>
      <c r="D188" s="68"/>
      <c r="E188" s="68"/>
      <c r="F188" s="68"/>
      <c r="G188" s="64"/>
      <c r="H188" s="64"/>
      <c r="I188" s="33"/>
      <c r="J188" s="33"/>
      <c r="K188" s="33"/>
    </row>
    <row r="189" spans="1:11" hidden="1" outlineLevel="1">
      <c r="A189" s="33"/>
      <c r="B189" s="62">
        <v>177</v>
      </c>
      <c r="C189" s="68"/>
      <c r="D189" s="68"/>
      <c r="E189" s="68"/>
      <c r="F189" s="68"/>
      <c r="G189" s="64"/>
      <c r="H189" s="64"/>
      <c r="I189" s="33"/>
      <c r="J189" s="33"/>
      <c r="K189" s="33"/>
    </row>
    <row r="190" spans="1:11" hidden="1" outlineLevel="1">
      <c r="A190" s="33"/>
      <c r="B190" s="65">
        <v>178</v>
      </c>
      <c r="C190" s="68"/>
      <c r="D190" s="68"/>
      <c r="E190" s="68"/>
      <c r="F190" s="68"/>
      <c r="G190" s="64"/>
      <c r="H190" s="64"/>
      <c r="I190" s="33"/>
      <c r="J190" s="33"/>
      <c r="K190" s="33"/>
    </row>
    <row r="191" spans="1:11" hidden="1" outlineLevel="1">
      <c r="A191" s="33"/>
      <c r="B191" s="62">
        <v>179</v>
      </c>
      <c r="C191" s="68"/>
      <c r="D191" s="68"/>
      <c r="E191" s="68"/>
      <c r="F191" s="68"/>
      <c r="G191" s="64"/>
      <c r="H191" s="64"/>
      <c r="I191" s="33"/>
      <c r="J191" s="33"/>
      <c r="K191" s="33"/>
    </row>
    <row r="192" spans="1:11" hidden="1" outlineLevel="1">
      <c r="A192" s="33"/>
      <c r="B192" s="65">
        <v>180</v>
      </c>
      <c r="C192" s="68"/>
      <c r="D192" s="68"/>
      <c r="E192" s="68"/>
      <c r="F192" s="68"/>
      <c r="G192" s="64"/>
      <c r="H192" s="64"/>
      <c r="I192" s="33"/>
      <c r="J192" s="33"/>
      <c r="K192" s="33"/>
    </row>
    <row r="193" spans="1:11" hidden="1" outlineLevel="1">
      <c r="A193" s="33"/>
      <c r="B193" s="62">
        <v>181</v>
      </c>
      <c r="C193" s="68"/>
      <c r="D193" s="68"/>
      <c r="E193" s="68"/>
      <c r="F193" s="68"/>
      <c r="G193" s="64"/>
      <c r="H193" s="64"/>
      <c r="I193" s="33"/>
      <c r="J193" s="33"/>
      <c r="K193" s="33"/>
    </row>
    <row r="194" spans="1:11" hidden="1" outlineLevel="1">
      <c r="A194" s="33"/>
      <c r="B194" s="65">
        <v>182</v>
      </c>
      <c r="C194" s="68"/>
      <c r="D194" s="68"/>
      <c r="E194" s="68"/>
      <c r="F194" s="68"/>
      <c r="G194" s="64"/>
      <c r="H194" s="64"/>
      <c r="I194" s="33"/>
      <c r="J194" s="33"/>
      <c r="K194" s="33"/>
    </row>
    <row r="195" spans="1:11" hidden="1" outlineLevel="1">
      <c r="A195" s="33"/>
      <c r="B195" s="62">
        <v>183</v>
      </c>
      <c r="C195" s="68"/>
      <c r="D195" s="68"/>
      <c r="E195" s="68"/>
      <c r="F195" s="68"/>
      <c r="G195" s="64"/>
      <c r="H195" s="64"/>
      <c r="I195" s="33"/>
      <c r="J195" s="33"/>
      <c r="K195" s="33"/>
    </row>
    <row r="196" spans="1:11" hidden="1" outlineLevel="1">
      <c r="A196" s="33"/>
      <c r="B196" s="65">
        <v>184</v>
      </c>
      <c r="C196" s="68"/>
      <c r="D196" s="68"/>
      <c r="E196" s="68"/>
      <c r="F196" s="68"/>
      <c r="G196" s="64"/>
      <c r="H196" s="64"/>
      <c r="I196" s="33"/>
      <c r="J196" s="33"/>
      <c r="K196" s="33"/>
    </row>
    <row r="197" spans="1:11" hidden="1" outlineLevel="1">
      <c r="A197" s="33"/>
      <c r="B197" s="62">
        <v>185</v>
      </c>
      <c r="C197" s="68"/>
      <c r="D197" s="68"/>
      <c r="E197" s="68"/>
      <c r="F197" s="68"/>
      <c r="G197" s="64"/>
      <c r="H197" s="64"/>
      <c r="I197" s="33"/>
      <c r="J197" s="33"/>
      <c r="K197" s="33"/>
    </row>
    <row r="198" spans="1:11" hidden="1" outlineLevel="1">
      <c r="A198" s="33"/>
      <c r="B198" s="65">
        <v>186</v>
      </c>
      <c r="C198" s="68"/>
      <c r="D198" s="68"/>
      <c r="E198" s="68"/>
      <c r="F198" s="68"/>
      <c r="G198" s="64"/>
      <c r="H198" s="64"/>
      <c r="I198" s="33"/>
      <c r="J198" s="33"/>
      <c r="K198" s="33"/>
    </row>
    <row r="199" spans="1:11" hidden="1" outlineLevel="1">
      <c r="A199" s="33"/>
      <c r="B199" s="62">
        <v>187</v>
      </c>
      <c r="C199" s="68"/>
      <c r="D199" s="68"/>
      <c r="E199" s="68"/>
      <c r="F199" s="68"/>
      <c r="G199" s="64"/>
      <c r="H199" s="64"/>
      <c r="I199" s="33"/>
      <c r="J199" s="33"/>
      <c r="K199" s="33"/>
    </row>
    <row r="200" spans="1:11" hidden="1" outlineLevel="1">
      <c r="A200" s="33"/>
      <c r="B200" s="65">
        <v>188</v>
      </c>
      <c r="C200" s="68"/>
      <c r="D200" s="68"/>
      <c r="E200" s="68"/>
      <c r="F200" s="68"/>
      <c r="G200" s="64"/>
      <c r="H200" s="64"/>
      <c r="I200" s="33"/>
      <c r="J200" s="33"/>
      <c r="K200" s="33"/>
    </row>
    <row r="201" spans="1:11" hidden="1" outlineLevel="1">
      <c r="A201" s="33"/>
      <c r="B201" s="62">
        <v>189</v>
      </c>
      <c r="C201" s="68"/>
      <c r="D201" s="68"/>
      <c r="E201" s="68"/>
      <c r="F201" s="68"/>
      <c r="G201" s="64"/>
      <c r="H201" s="64"/>
      <c r="I201" s="33"/>
      <c r="J201" s="33"/>
      <c r="K201" s="33"/>
    </row>
    <row r="202" spans="1:11" hidden="1" outlineLevel="1">
      <c r="A202" s="33"/>
      <c r="B202" s="62">
        <v>190</v>
      </c>
      <c r="C202" s="68"/>
      <c r="D202" s="68"/>
      <c r="E202" s="68"/>
      <c r="F202" s="68"/>
      <c r="G202" s="64"/>
      <c r="H202" s="64"/>
      <c r="I202" s="33"/>
      <c r="J202" s="33"/>
      <c r="K202" s="33"/>
    </row>
    <row r="203" spans="1:11" hidden="1" outlineLevel="1">
      <c r="A203" s="33"/>
      <c r="B203" s="62">
        <v>191</v>
      </c>
      <c r="C203" s="68"/>
      <c r="D203" s="68"/>
      <c r="E203" s="68"/>
      <c r="F203" s="68"/>
      <c r="G203" s="64"/>
      <c r="H203" s="64"/>
      <c r="I203" s="33"/>
      <c r="J203" s="33"/>
      <c r="K203" s="33"/>
    </row>
    <row r="204" spans="1:11" hidden="1" outlineLevel="1">
      <c r="A204" s="33"/>
      <c r="B204" s="62">
        <v>192</v>
      </c>
      <c r="C204" s="68"/>
      <c r="D204" s="68"/>
      <c r="E204" s="68"/>
      <c r="F204" s="68"/>
      <c r="G204" s="64"/>
      <c r="H204" s="64"/>
      <c r="I204" s="33"/>
      <c r="J204" s="33"/>
      <c r="K204" s="33"/>
    </row>
    <row r="205" spans="1:11" hidden="1" outlineLevel="1">
      <c r="A205" s="33"/>
      <c r="B205" s="62">
        <v>193</v>
      </c>
      <c r="C205" s="68"/>
      <c r="D205" s="68"/>
      <c r="E205" s="68"/>
      <c r="F205" s="68"/>
      <c r="G205" s="64"/>
      <c r="H205" s="64"/>
      <c r="I205" s="33"/>
      <c r="J205" s="33"/>
      <c r="K205" s="33"/>
    </row>
    <row r="206" spans="1:11" hidden="1" outlineLevel="1">
      <c r="A206" s="33"/>
      <c r="B206" s="62">
        <v>194</v>
      </c>
      <c r="C206" s="68"/>
      <c r="D206" s="68"/>
      <c r="E206" s="68"/>
      <c r="F206" s="68"/>
      <c r="G206" s="64"/>
      <c r="H206" s="64"/>
      <c r="I206" s="33"/>
      <c r="J206" s="33"/>
      <c r="K206" s="33"/>
    </row>
    <row r="207" spans="1:11" hidden="1" outlineLevel="1">
      <c r="A207" s="33"/>
      <c r="B207" s="62">
        <v>195</v>
      </c>
      <c r="C207" s="68"/>
      <c r="D207" s="68"/>
      <c r="E207" s="68"/>
      <c r="F207" s="68"/>
      <c r="G207" s="64"/>
      <c r="H207" s="64"/>
      <c r="I207" s="33"/>
      <c r="J207" s="33"/>
      <c r="K207" s="33"/>
    </row>
    <row r="208" spans="1:11" hidden="1" outlineLevel="1">
      <c r="A208" s="33"/>
      <c r="B208" s="62">
        <v>196</v>
      </c>
      <c r="C208" s="68"/>
      <c r="D208" s="68"/>
      <c r="E208" s="68"/>
      <c r="F208" s="68"/>
      <c r="G208" s="64"/>
      <c r="H208" s="64"/>
      <c r="I208" s="33"/>
      <c r="J208" s="33"/>
      <c r="K208" s="33"/>
    </row>
    <row r="209" spans="1:11" hidden="1" outlineLevel="1">
      <c r="A209" s="33"/>
      <c r="B209" s="62">
        <v>197</v>
      </c>
      <c r="C209" s="68"/>
      <c r="D209" s="68"/>
      <c r="E209" s="68"/>
      <c r="F209" s="68"/>
      <c r="G209" s="64"/>
      <c r="H209" s="64"/>
      <c r="I209" s="33"/>
      <c r="J209" s="33"/>
      <c r="K209" s="33"/>
    </row>
    <row r="210" spans="1:11" hidden="1" outlineLevel="1">
      <c r="A210" s="33"/>
      <c r="B210" s="62">
        <v>198</v>
      </c>
      <c r="C210" s="68"/>
      <c r="D210" s="68"/>
      <c r="E210" s="68"/>
      <c r="F210" s="68"/>
      <c r="G210" s="64"/>
      <c r="H210" s="64"/>
      <c r="I210" s="33"/>
      <c r="J210" s="33"/>
      <c r="K210" s="33"/>
    </row>
    <row r="211" spans="1:11" hidden="1" outlineLevel="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'Tab.G1.1-4'!E16-G213</f>
        <v>0</v>
      </c>
      <c r="H216"/>
      <c r="I216" s="33"/>
      <c r="J216" s="33"/>
      <c r="K216" s="33"/>
    </row>
    <row r="217" spans="1:11">
      <c r="A217" s="33"/>
      <c r="B217" s="33"/>
      <c r="C217" s="33"/>
      <c r="D217" s="33"/>
      <c r="E217" s="33"/>
      <c r="F217" s="33"/>
      <c r="G217" s="33"/>
      <c r="H217" s="33"/>
      <c r="I217" s="33"/>
      <c r="J217" s="33"/>
      <c r="K217" s="33"/>
    </row>
    <row r="218" spans="1:11" ht="15">
      <c r="A218"/>
      <c r="B218"/>
      <c r="C218"/>
      <c r="D218"/>
      <c r="E218"/>
      <c r="F218"/>
      <c r="G218"/>
      <c r="H218"/>
      <c r="I218"/>
      <c r="J218"/>
      <c r="K218"/>
    </row>
    <row r="219" spans="1:11" ht="15">
      <c r="A219"/>
      <c r="B219"/>
      <c r="C219"/>
      <c r="D219"/>
      <c r="E219"/>
      <c r="F219"/>
      <c r="G219"/>
      <c r="H219"/>
      <c r="I219"/>
      <c r="J219"/>
      <c r="K219"/>
    </row>
    <row r="220" spans="1:11" ht="15">
      <c r="A220"/>
      <c r="B220"/>
      <c r="C220"/>
      <c r="D220"/>
      <c r="E220"/>
      <c r="F220"/>
      <c r="G220"/>
      <c r="H220"/>
      <c r="I220"/>
      <c r="J220"/>
      <c r="K220"/>
    </row>
    <row r="221" spans="1:11" ht="15">
      <c r="A221"/>
      <c r="B221"/>
      <c r="C221"/>
      <c r="D221"/>
      <c r="E221"/>
      <c r="F221"/>
      <c r="G221"/>
      <c r="H221"/>
      <c r="I221"/>
      <c r="J221"/>
      <c r="K221"/>
    </row>
    <row r="222" spans="1:11" ht="15">
      <c r="A222"/>
      <c r="B222"/>
      <c r="C222"/>
      <c r="D222"/>
      <c r="E222"/>
      <c r="F222"/>
      <c r="G222"/>
      <c r="H222"/>
      <c r="I222"/>
      <c r="J222"/>
      <c r="K222"/>
    </row>
    <row r="223" spans="1:11" ht="15">
      <c r="A223"/>
      <c r="B223"/>
      <c r="C223"/>
      <c r="D223"/>
      <c r="E223"/>
      <c r="F223"/>
      <c r="G223"/>
      <c r="H223"/>
      <c r="I223"/>
      <c r="J223"/>
      <c r="K223"/>
    </row>
    <row r="224" spans="1:11" ht="15">
      <c r="A224"/>
      <c r="B224"/>
      <c r="C224"/>
      <c r="D224"/>
      <c r="E224"/>
      <c r="F224"/>
      <c r="G224"/>
      <c r="H224"/>
      <c r="I224"/>
      <c r="J224"/>
      <c r="K224"/>
    </row>
  </sheetData>
  <mergeCells count="10">
    <mergeCell ref="C3:H3"/>
    <mergeCell ref="C4:H4"/>
    <mergeCell ref="F8:F10"/>
    <mergeCell ref="H8:H10"/>
    <mergeCell ref="C5:H5"/>
    <mergeCell ref="B8:B10"/>
    <mergeCell ref="C8:C10"/>
    <mergeCell ref="D8:D10"/>
    <mergeCell ref="E8:E10"/>
    <mergeCell ref="C6:H6"/>
  </mergeCells>
  <phoneticPr fontId="0" type="noConversion"/>
  <hyperlinks>
    <hyperlink ref="C1" location="Spis!B53" display="&gt;&gt; powrót do spisu treści" xr:uid="{00000000-0004-0000-1B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5">
    <pageSetUpPr fitToPage="1"/>
  </sheetPr>
  <dimension ref="A1:K219"/>
  <sheetViews>
    <sheetView zoomScale="90" zoomScaleNormal="9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33"/>
      <c r="B1" s="50"/>
      <c r="C1" s="946" t="s">
        <v>10</v>
      </c>
      <c r="D1" s="51"/>
      <c r="E1" s="52"/>
      <c r="F1" s="52"/>
      <c r="G1" s="53"/>
      <c r="H1" s="54"/>
      <c r="I1" s="766"/>
      <c r="J1" s="766"/>
      <c r="K1" s="766"/>
    </row>
    <row r="2" spans="1:11" ht="9.9" customHeight="1">
      <c r="A2" s="33"/>
      <c r="B2" s="54"/>
      <c r="C2" s="54"/>
      <c r="D2" s="54"/>
      <c r="E2" s="54"/>
      <c r="F2" s="54"/>
      <c r="G2" s="50"/>
      <c r="H2" s="50"/>
      <c r="I2" s="33"/>
      <c r="J2" s="33"/>
      <c r="K2" s="33"/>
    </row>
    <row r="3" spans="1:11" ht="15" customHeight="1">
      <c r="A3" s="33"/>
      <c r="B3" s="955" t="s">
        <v>14</v>
      </c>
      <c r="C3" s="1123" t="s">
        <v>190</v>
      </c>
      <c r="D3" s="1125"/>
      <c r="E3" s="1125"/>
      <c r="F3" s="1125"/>
      <c r="G3" s="1125"/>
      <c r="H3" s="1125"/>
      <c r="I3" s="33"/>
      <c r="J3" s="33"/>
      <c r="K3" s="33"/>
    </row>
    <row r="4" spans="1:11" ht="15" customHeight="1">
      <c r="A4" s="33"/>
      <c r="B4" s="955" t="s">
        <v>29</v>
      </c>
      <c r="C4" s="1123" t="s">
        <v>191</v>
      </c>
      <c r="D4" s="1126"/>
      <c r="E4" s="1126"/>
      <c r="F4" s="1126"/>
      <c r="G4" s="1126"/>
      <c r="H4" s="1126"/>
      <c r="I4" s="33"/>
      <c r="J4" s="33"/>
      <c r="K4" s="33"/>
    </row>
    <row r="5" spans="1:11" ht="15" customHeight="1">
      <c r="A5" s="33"/>
      <c r="B5" s="955" t="s">
        <v>30</v>
      </c>
      <c r="C5" s="1127" t="s">
        <v>186</v>
      </c>
      <c r="D5" s="1128"/>
      <c r="E5" s="1128"/>
      <c r="F5" s="1128"/>
      <c r="G5" s="1128"/>
      <c r="H5" s="1128"/>
      <c r="I5" s="33"/>
      <c r="J5" s="33"/>
      <c r="K5" s="33"/>
    </row>
    <row r="6" spans="1:11" ht="50.1" customHeight="1">
      <c r="A6" s="33"/>
      <c r="B6" s="955" t="s">
        <v>37</v>
      </c>
      <c r="C6" s="1123" t="s">
        <v>185</v>
      </c>
      <c r="D6" s="1124"/>
      <c r="E6" s="1124"/>
      <c r="F6" s="1124"/>
      <c r="G6" s="1124"/>
      <c r="H6" s="1124"/>
      <c r="I6" s="33"/>
      <c r="J6" s="33"/>
      <c r="K6" s="33"/>
    </row>
    <row r="7" spans="1:11" ht="30" customHeight="1" thickBot="1">
      <c r="A7" s="33"/>
      <c r="B7" s="814" t="s">
        <v>266</v>
      </c>
      <c r="C7" s="55"/>
      <c r="D7" s="56"/>
      <c r="E7" s="55"/>
      <c r="F7" s="57"/>
      <c r="G7" s="58"/>
      <c r="H7" s="59"/>
      <c r="I7" s="33"/>
      <c r="J7" s="33"/>
      <c r="K7" s="33"/>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2020</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SUM('Tab.G1.1-4'!E78,-G213)</f>
        <v>0</v>
      </c>
      <c r="H216" s="838"/>
      <c r="I216" s="33"/>
      <c r="J216" s="33"/>
      <c r="K216" s="33"/>
    </row>
    <row r="217" spans="1:11">
      <c r="A217" s="33"/>
      <c r="B217" s="33"/>
      <c r="C217" s="33"/>
      <c r="D217" s="33"/>
      <c r="E217" s="33"/>
      <c r="F217" s="33"/>
      <c r="G217" s="33"/>
      <c r="H217" s="33"/>
      <c r="I217" s="33"/>
      <c r="J217" s="33"/>
      <c r="K217" s="33"/>
    </row>
    <row r="218" spans="1:11">
      <c r="A218" s="766"/>
      <c r="B218" s="766"/>
      <c r="C218" s="766"/>
      <c r="D218" s="766"/>
      <c r="E218" s="766"/>
      <c r="F218" s="766"/>
      <c r="G218" s="766"/>
      <c r="H218" s="766"/>
      <c r="I218" s="766"/>
      <c r="J218" s="766"/>
      <c r="K218" s="766"/>
    </row>
    <row r="219" spans="1:11">
      <c r="A219" s="766"/>
      <c r="B219" s="766"/>
      <c r="C219" s="766"/>
      <c r="D219" s="766"/>
      <c r="E219" s="766"/>
      <c r="F219" s="766"/>
      <c r="G219" s="766"/>
      <c r="H219" s="766"/>
      <c r="I219" s="766"/>
      <c r="J219" s="766"/>
      <c r="K219" s="766"/>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xr:uid="{00000000-0004-0000-1C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1"/>
  <dimension ref="A1:M666"/>
  <sheetViews>
    <sheetView zoomScale="90" zoomScaleNormal="90" zoomScaleSheetLayoutView="75" workbookViewId="0">
      <pane ySplit="6" topLeftCell="A7" activePane="bottomLeft" state="frozen"/>
      <selection pane="bottomLeft" activeCell="C81" sqref="C81"/>
    </sheetView>
  </sheetViews>
  <sheetFormatPr defaultColWidth="8.90625" defaultRowHeight="15"/>
  <cols>
    <col min="1" max="1" width="3.81640625" style="159" customWidth="1"/>
    <col min="2" max="2" width="4.81640625" style="159" customWidth="1"/>
    <col min="3" max="3" width="77.81640625" style="159" customWidth="1"/>
    <col min="4" max="4" width="12.81640625" style="159" customWidth="1"/>
    <col min="5" max="5" width="15.81640625" style="159" customWidth="1"/>
    <col min="6" max="7" width="14.81640625" style="159" customWidth="1"/>
    <col min="8" max="8" width="16.81640625" style="220" customWidth="1"/>
    <col min="9" max="9" width="16.81640625" style="158" customWidth="1"/>
    <col min="10" max="16384" width="8.90625" style="159"/>
  </cols>
  <sheetData>
    <row r="1" spans="1:13" ht="23.25" customHeight="1">
      <c r="A1" s="161"/>
      <c r="B1" s="208"/>
      <c r="C1" s="942" t="s">
        <v>10</v>
      </c>
      <c r="D1" s="161"/>
      <c r="E1" s="161"/>
      <c r="F1" s="161"/>
      <c r="G1" s="161"/>
      <c r="H1" s="158"/>
    </row>
    <row r="2" spans="1:13" ht="15.75" customHeight="1">
      <c r="A2" s="161"/>
      <c r="B2" s="208"/>
      <c r="C2" s="203"/>
      <c r="D2" s="161"/>
      <c r="E2" s="161"/>
      <c r="F2" s="161"/>
      <c r="G2" s="161"/>
      <c r="H2" s="158"/>
    </row>
    <row r="3" spans="1:13" ht="30" customHeight="1">
      <c r="A3" s="158"/>
      <c r="B3" s="209" t="s">
        <v>44</v>
      </c>
      <c r="C3" s="210"/>
      <c r="D3" s="211"/>
      <c r="E3" s="211"/>
      <c r="F3" s="211"/>
      <c r="G3" s="211"/>
      <c r="H3" s="212"/>
      <c r="I3" s="211"/>
      <c r="J3" s="161"/>
      <c r="K3" s="161"/>
      <c r="L3" s="158"/>
      <c r="M3" s="161"/>
    </row>
    <row r="4" spans="1:13" ht="16.5" customHeight="1">
      <c r="A4" s="147"/>
      <c r="B4" s="213"/>
      <c r="C4" s="213"/>
      <c r="D4" s="213"/>
      <c r="E4" s="213"/>
      <c r="F4" s="213"/>
      <c r="G4" s="213"/>
      <c r="H4" s="214"/>
    </row>
    <row r="5" spans="1:13" ht="15" customHeight="1">
      <c r="A5" s="158"/>
      <c r="B5" s="851" t="s">
        <v>4</v>
      </c>
      <c r="C5" s="991" t="s">
        <v>218</v>
      </c>
      <c r="D5" s="991"/>
      <c r="E5" s="991"/>
      <c r="F5" s="991"/>
      <c r="G5" s="991"/>
      <c r="H5" s="991"/>
      <c r="I5" s="991"/>
    </row>
    <row r="6" spans="1:13" ht="15" customHeight="1">
      <c r="A6" s="147"/>
      <c r="B6" s="851" t="s">
        <v>5</v>
      </c>
      <c r="C6" s="992" t="s">
        <v>105</v>
      </c>
      <c r="D6" s="992"/>
      <c r="E6" s="992"/>
      <c r="F6" s="992"/>
      <c r="G6" s="992"/>
      <c r="H6" s="992"/>
      <c r="I6" s="992"/>
    </row>
    <row r="7" spans="1:13" ht="30" customHeight="1" thickBot="1">
      <c r="A7" s="147"/>
      <c r="B7" s="147" t="s">
        <v>127</v>
      </c>
      <c r="C7" s="147"/>
      <c r="D7" s="215"/>
      <c r="E7" s="147"/>
      <c r="F7" s="700"/>
      <c r="G7" s="700"/>
      <c r="H7" s="730"/>
      <c r="I7" s="216"/>
    </row>
    <row r="8" spans="1:13" s="163" customFormat="1" ht="18.899999999999999" customHeight="1">
      <c r="A8" s="161"/>
      <c r="B8" s="996" t="str">
        <f>"LP"</f>
        <v>LP</v>
      </c>
      <c r="C8" s="1003" t="str">
        <f>"Wyszczególnienie"</f>
        <v>Wyszczególnienie</v>
      </c>
      <c r="D8" s="999"/>
      <c r="E8" s="632" t="str">
        <f>"Wykonanie"</f>
        <v>Wykonanie</v>
      </c>
      <c r="F8" s="709"/>
      <c r="G8" s="709"/>
      <c r="H8" s="729"/>
      <c r="I8" s="160"/>
    </row>
    <row r="9" spans="1:13" s="163" customFormat="1" ht="18.899999999999999" customHeight="1">
      <c r="A9" s="161"/>
      <c r="B9" s="997"/>
      <c r="C9" s="1004"/>
      <c r="D9" s="1001"/>
      <c r="E9" s="717">
        <f>Rok_ZPR</f>
        <v>2020</v>
      </c>
      <c r="F9" s="709"/>
      <c r="G9" s="709"/>
      <c r="H9" s="729"/>
      <c r="I9" s="160"/>
    </row>
    <row r="10" spans="1:13" s="219" customFormat="1" ht="14.1" customHeight="1" thickBot="1">
      <c r="A10" s="217"/>
      <c r="B10" s="649" t="str">
        <f t="array" ref="B10:B30">Tab.G17!$B$10:$B$30</f>
        <v>01</v>
      </c>
      <c r="C10" s="994" t="str">
        <f>Tab.G17!$B$11</f>
        <v>02</v>
      </c>
      <c r="D10" s="995"/>
      <c r="E10" s="650" t="str">
        <f>Tab.G17!$B$12</f>
        <v>03</v>
      </c>
      <c r="F10" s="709"/>
      <c r="G10" s="709"/>
      <c r="H10" s="731"/>
      <c r="I10" s="218"/>
    </row>
    <row r="11" spans="1:13" s="163" customFormat="1" ht="18.899999999999999" customHeight="1" thickBot="1">
      <c r="A11" s="161"/>
      <c r="B11" s="726" t="str">
        <v>02</v>
      </c>
      <c r="C11" s="714" t="s">
        <v>11</v>
      </c>
      <c r="D11" s="715" t="str">
        <f>"[tys. zł]"</f>
        <v>[tys. zł]</v>
      </c>
      <c r="E11" s="716">
        <f>SUM(E12,E15,E23)</f>
        <v>0</v>
      </c>
      <c r="F11" s="709"/>
      <c r="G11" s="709"/>
      <c r="H11" s="732"/>
      <c r="I11" s="162"/>
    </row>
    <row r="12" spans="1:13" s="163" customFormat="1" ht="18.899999999999999" customHeight="1">
      <c r="A12" s="161"/>
      <c r="B12" s="718" t="str">
        <v>03</v>
      </c>
      <c r="C12" s="164" t="s">
        <v>114</v>
      </c>
      <c r="D12" s="241" t="str">
        <f t="shared" ref="D12:D30" si="0">$D$11</f>
        <v>[tys. zł]</v>
      </c>
      <c r="E12" s="165">
        <f>SUM(E13:E14)</f>
        <v>0</v>
      </c>
      <c r="F12" s="709"/>
      <c r="G12" s="709"/>
      <c r="H12" s="733"/>
      <c r="I12" s="166"/>
      <c r="J12" s="220"/>
      <c r="K12" s="220"/>
      <c r="L12" s="220"/>
      <c r="M12" s="220"/>
    </row>
    <row r="13" spans="1:13" s="163" customFormat="1" ht="18.899999999999999" customHeight="1">
      <c r="A13" s="161"/>
      <c r="B13" s="719" t="str">
        <v>04</v>
      </c>
      <c r="C13" s="167" t="s">
        <v>102</v>
      </c>
      <c r="D13" s="242" t="str">
        <f t="shared" si="0"/>
        <v>[tys. zł]</v>
      </c>
      <c r="E13" s="240">
        <f>SUM('Tab.G2.1-3'!E10,'Tab.G2.1-3'!E44,'Tab.G2.1-3'!E59)</f>
        <v>0</v>
      </c>
      <c r="F13" s="709"/>
      <c r="G13" s="709"/>
      <c r="H13" s="734"/>
      <c r="I13" s="169"/>
    </row>
    <row r="14" spans="1:13" s="222" customFormat="1" ht="18.899999999999999" customHeight="1">
      <c r="A14" s="221"/>
      <c r="B14" s="719" t="str">
        <v>05</v>
      </c>
      <c r="C14" s="167" t="s">
        <v>103</v>
      </c>
      <c r="D14" s="243" t="str">
        <f t="shared" si="0"/>
        <v>[tys. zł]</v>
      </c>
      <c r="E14" s="240">
        <f>'Tab.G4.1-3'!E9</f>
        <v>0</v>
      </c>
      <c r="F14" s="709"/>
      <c r="G14" s="709"/>
      <c r="H14" s="734"/>
      <c r="I14" s="169"/>
    </row>
    <row r="15" spans="1:13" s="225" customFormat="1" ht="36.9" customHeight="1">
      <c r="A15" s="223"/>
      <c r="B15" s="718" t="str">
        <v>06</v>
      </c>
      <c r="C15" s="164"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4" t="str">
        <f t="shared" si="0"/>
        <v>[tys. zł]</v>
      </c>
      <c r="E15" s="165">
        <f>SUM(E16,E22)</f>
        <v>0</v>
      </c>
      <c r="F15" s="709"/>
      <c r="G15" s="709"/>
      <c r="H15" s="733"/>
      <c r="I15" s="166"/>
      <c r="J15" s="224"/>
      <c r="K15" s="224"/>
      <c r="L15" s="224"/>
      <c r="M15" s="224"/>
    </row>
    <row r="16" spans="1:13" s="163" customFormat="1" ht="36.9" customHeight="1">
      <c r="A16" s="161"/>
      <c r="B16" s="720" t="str">
        <v>07</v>
      </c>
      <c r="C16" s="187" t="s">
        <v>65</v>
      </c>
      <c r="D16" s="245" t="str">
        <f t="shared" si="0"/>
        <v>[tys. zł]</v>
      </c>
      <c r="E16" s="168">
        <f>SUM(E17,E20:E21)</f>
        <v>0</v>
      </c>
      <c r="F16" s="709"/>
      <c r="G16" s="709"/>
      <c r="H16" s="734"/>
      <c r="I16" s="169"/>
    </row>
    <row r="17" spans="1:9" s="163" customFormat="1" ht="18.899999999999999" customHeight="1">
      <c r="A17" s="161"/>
      <c r="B17" s="720" t="str">
        <v>08</v>
      </c>
      <c r="C17" s="170" t="s">
        <v>12</v>
      </c>
      <c r="D17" s="246" t="str">
        <f t="shared" si="0"/>
        <v>[tys. zł]</v>
      </c>
      <c r="E17" s="168">
        <f>SUM(E18:E19)</f>
        <v>0</v>
      </c>
      <c r="F17" s="709"/>
      <c r="G17" s="709"/>
      <c r="H17" s="734"/>
      <c r="I17" s="169"/>
    </row>
    <row r="18" spans="1:9" s="225" customFormat="1" ht="18.899999999999999" customHeight="1">
      <c r="A18" s="223"/>
      <c r="B18" s="720" t="str">
        <v>09</v>
      </c>
      <c r="C18" s="171" t="s">
        <v>34</v>
      </c>
      <c r="D18" s="247" t="str">
        <f t="shared" si="0"/>
        <v>[tys. zł]</v>
      </c>
      <c r="E18" s="172">
        <f>'Tab.G5.1-3'!E11</f>
        <v>0</v>
      </c>
      <c r="F18" s="709"/>
      <c r="G18" s="709"/>
      <c r="H18" s="735"/>
      <c r="I18" s="173"/>
    </row>
    <row r="19" spans="1:9" s="225" customFormat="1" ht="18.899999999999999" customHeight="1">
      <c r="A19" s="223"/>
      <c r="B19" s="721" t="str">
        <v>10</v>
      </c>
      <c r="C19" s="171" t="s">
        <v>13</v>
      </c>
      <c r="D19" s="248" t="str">
        <f t="shared" si="0"/>
        <v>[tys. zł]</v>
      </c>
      <c r="E19" s="172">
        <f>SUM('Tab.G5.1-3'!E22,'Tab.G5.1-3'!E38)</f>
        <v>0</v>
      </c>
      <c r="F19" s="709"/>
      <c r="G19" s="709"/>
      <c r="H19" s="735"/>
      <c r="I19" s="173"/>
    </row>
    <row r="20" spans="1:9" s="225" customFormat="1" ht="36.9" customHeight="1">
      <c r="A20" s="223"/>
      <c r="B20" s="720" t="str">
        <v>11</v>
      </c>
      <c r="C20" s="226" t="s">
        <v>97</v>
      </c>
      <c r="D20" s="249" t="str">
        <f t="shared" si="0"/>
        <v>[tys. zł]</v>
      </c>
      <c r="E20" s="168">
        <f>'Tab.G5.1-3'!E39</f>
        <v>0</v>
      </c>
      <c r="F20" s="709"/>
      <c r="G20" s="709"/>
      <c r="H20" s="734"/>
      <c r="I20" s="169"/>
    </row>
    <row r="21" spans="1:9" s="163" customFormat="1" ht="18.899999999999999" customHeight="1">
      <c r="A21" s="161"/>
      <c r="B21" s="721" t="str">
        <v>12</v>
      </c>
      <c r="C21" s="174" t="s">
        <v>7</v>
      </c>
      <c r="D21" s="247" t="str">
        <f t="shared" si="0"/>
        <v>[tys. zł]</v>
      </c>
      <c r="E21" s="168">
        <f>'Tab.G5.1-3'!E54</f>
        <v>0</v>
      </c>
      <c r="F21" s="709"/>
      <c r="G21" s="709"/>
      <c r="H21" s="734"/>
      <c r="I21" s="169"/>
    </row>
    <row r="22" spans="1:9" s="163" customFormat="1" ht="33.75" customHeight="1" thickBot="1">
      <c r="A22" s="161"/>
      <c r="B22" s="722" t="str">
        <v>13</v>
      </c>
      <c r="C22" s="175" t="s">
        <v>104</v>
      </c>
      <c r="D22" s="250" t="str">
        <f t="shared" si="0"/>
        <v>[tys. zł]</v>
      </c>
      <c r="E22" s="176">
        <f>Tab.G6!I613</f>
        <v>0</v>
      </c>
      <c r="F22" s="709"/>
      <c r="G22" s="709"/>
      <c r="H22" s="734"/>
      <c r="I22" s="169"/>
    </row>
    <row r="23" spans="1:9" s="163" customFormat="1" ht="18.899999999999999" customHeight="1">
      <c r="A23" s="161"/>
      <c r="B23" s="723" t="str">
        <v>14</v>
      </c>
      <c r="C23" s="177" t="str">
        <f>"C. Nakłady inwestycyjne pozostałe, nie ujęte w pkt. A i B:"</f>
        <v>C. Nakłady inwestycyjne pozostałe, nie ujęte w pkt. A i B:</v>
      </c>
      <c r="D23" s="251" t="str">
        <f t="shared" si="0"/>
        <v>[tys. zł]</v>
      </c>
      <c r="E23" s="178">
        <f>E24+E25+E26+E27+E28+E29+E30</f>
        <v>0</v>
      </c>
      <c r="F23" s="709"/>
      <c r="G23" s="709"/>
      <c r="H23" s="736"/>
      <c r="I23" s="166"/>
    </row>
    <row r="24" spans="1:9" s="163" customFormat="1" ht="48" customHeight="1">
      <c r="A24" s="161"/>
      <c r="B24" s="721" t="str">
        <v>15</v>
      </c>
      <c r="C24" s="179" t="s">
        <v>98</v>
      </c>
      <c r="D24" s="252" t="str">
        <f t="shared" si="0"/>
        <v>[tys. zł]</v>
      </c>
      <c r="E24" s="168">
        <f>Tab.G7!J613</f>
        <v>0</v>
      </c>
      <c r="F24" s="709"/>
      <c r="G24" s="709"/>
      <c r="H24" s="734"/>
      <c r="I24" s="169"/>
    </row>
    <row r="25" spans="1:9" s="163" customFormat="1" ht="41.25" customHeight="1">
      <c r="A25" s="161"/>
      <c r="B25" s="720" t="str">
        <v>16</v>
      </c>
      <c r="C25" s="227" t="s">
        <v>99</v>
      </c>
      <c r="D25" s="252" t="str">
        <f t="shared" si="0"/>
        <v>[tys. zł]</v>
      </c>
      <c r="E25" s="168">
        <f>Tab.G8!J613</f>
        <v>0</v>
      </c>
      <c r="F25" s="709"/>
      <c r="G25" s="709"/>
      <c r="H25" s="734"/>
      <c r="I25" s="169"/>
    </row>
    <row r="26" spans="1:9" s="163" customFormat="1" ht="30" customHeight="1">
      <c r="A26" s="161"/>
      <c r="B26" s="720" t="str">
        <v>17</v>
      </c>
      <c r="C26" s="228" t="s">
        <v>100</v>
      </c>
      <c r="D26" s="252" t="str">
        <f t="shared" si="0"/>
        <v>[tys. zł]</v>
      </c>
      <c r="E26" s="168">
        <f>Tab.G9!J613</f>
        <v>0</v>
      </c>
      <c r="F26" s="709"/>
      <c r="G26" s="709"/>
      <c r="H26" s="734"/>
      <c r="I26" s="169"/>
    </row>
    <row r="27" spans="1:9" s="163" customFormat="1" ht="25.5" customHeight="1">
      <c r="A27" s="161"/>
      <c r="B27" s="724" t="str">
        <v>18</v>
      </c>
      <c r="C27" s="180" t="s">
        <v>101</v>
      </c>
      <c r="D27" s="252" t="str">
        <f t="shared" si="0"/>
        <v>[tys. zł]</v>
      </c>
      <c r="E27" s="168">
        <f>Tab.G10!J613</f>
        <v>0</v>
      </c>
      <c r="F27" s="709"/>
      <c r="G27" s="709"/>
      <c r="H27" s="734"/>
      <c r="I27" s="169"/>
    </row>
    <row r="28" spans="1:9" s="163" customFormat="1">
      <c r="A28" s="161"/>
      <c r="B28" s="720" t="str">
        <v>19</v>
      </c>
      <c r="C28" s="181" t="s">
        <v>8</v>
      </c>
      <c r="D28" s="252" t="str">
        <f t="shared" si="0"/>
        <v>[tys. zł]</v>
      </c>
      <c r="E28" s="168">
        <f>Tab.G11!J613</f>
        <v>0</v>
      </c>
      <c r="F28" s="709"/>
      <c r="G28" s="709"/>
      <c r="H28" s="734"/>
      <c r="I28" s="169"/>
    </row>
    <row r="29" spans="1:9" s="163" customFormat="1" ht="26.25" customHeight="1">
      <c r="A29" s="161"/>
      <c r="B29" s="721" t="str">
        <v>20</v>
      </c>
      <c r="C29" s="182" t="s">
        <v>38</v>
      </c>
      <c r="D29" s="252" t="str">
        <f t="shared" si="0"/>
        <v>[tys. zł]</v>
      </c>
      <c r="E29" s="168">
        <f>Tab.G12!J613</f>
        <v>0</v>
      </c>
      <c r="F29" s="709"/>
      <c r="G29" s="709"/>
      <c r="H29" s="734"/>
      <c r="I29" s="169"/>
    </row>
    <row r="30" spans="1:9" s="163" customFormat="1" ht="45" customHeight="1" thickBot="1">
      <c r="A30" s="161"/>
      <c r="B30" s="725" t="str">
        <v>21</v>
      </c>
      <c r="C30" s="229" t="s">
        <v>112</v>
      </c>
      <c r="D30" s="253" t="str">
        <f t="shared" si="0"/>
        <v>[tys. zł]</v>
      </c>
      <c r="E30" s="183">
        <f>Tab.G13!J613</f>
        <v>0</v>
      </c>
      <c r="F30" s="709"/>
      <c r="G30" s="709"/>
      <c r="H30" s="734"/>
      <c r="I30" s="169"/>
    </row>
    <row r="31" spans="1:9" s="163" customFormat="1" ht="18.899999999999999" customHeight="1">
      <c r="A31" s="161"/>
      <c r="B31" s="230" t="s">
        <v>2</v>
      </c>
      <c r="C31" s="231" t="s">
        <v>3</v>
      </c>
      <c r="D31" s="232"/>
      <c r="E31" s="233"/>
      <c r="F31" s="233"/>
      <c r="G31" s="233"/>
      <c r="H31" s="158"/>
      <c r="I31" s="158"/>
    </row>
    <row r="32" spans="1:9" s="163" customFormat="1" ht="18.899999999999999" customHeight="1">
      <c r="A32" s="161"/>
      <c r="B32" s="161"/>
      <c r="C32" s="161"/>
      <c r="D32" s="161"/>
      <c r="E32" s="161"/>
      <c r="F32" s="161"/>
      <c r="G32" s="161"/>
      <c r="H32" s="158"/>
      <c r="I32" s="158"/>
    </row>
    <row r="33" spans="1:9" s="163" customFormat="1" ht="30" customHeight="1" thickBot="1">
      <c r="A33" s="161"/>
      <c r="B33" s="147" t="s">
        <v>128</v>
      </c>
      <c r="C33" s="234"/>
      <c r="D33" s="158"/>
      <c r="E33" s="158"/>
      <c r="F33" s="729"/>
      <c r="G33" s="729"/>
      <c r="H33" s="158"/>
      <c r="I33" s="158"/>
    </row>
    <row r="34" spans="1:9" s="163" customFormat="1" ht="18.899999999999999" customHeight="1">
      <c r="A34" s="147"/>
      <c r="B34" s="996" t="str">
        <f>$B$8</f>
        <v>LP</v>
      </c>
      <c r="C34" s="1003" t="str">
        <f>$C$8</f>
        <v>Wyszczególnienie</v>
      </c>
      <c r="D34" s="999"/>
      <c r="E34" s="632" t="str">
        <f>$E$8</f>
        <v>Wykonanie</v>
      </c>
      <c r="F34" s="709"/>
      <c r="G34" s="709"/>
      <c r="H34" s="184"/>
      <c r="I34" s="993"/>
    </row>
    <row r="35" spans="1:9" s="163" customFormat="1" ht="18.899999999999999" customHeight="1">
      <c r="A35" s="147"/>
      <c r="B35" s="997"/>
      <c r="C35" s="1004"/>
      <c r="D35" s="1001"/>
      <c r="E35" s="717">
        <f>Rok_ZPR</f>
        <v>2020</v>
      </c>
      <c r="F35" s="709"/>
      <c r="G35" s="709"/>
      <c r="H35" s="184"/>
      <c r="I35" s="993"/>
    </row>
    <row r="36" spans="1:9" s="163" customFormat="1" ht="14.1" customHeight="1" thickBot="1">
      <c r="A36" s="161"/>
      <c r="B36" s="649" t="str">
        <f t="array" ref="B36:B56">Tab.G17!$B$10:$B$30</f>
        <v>01</v>
      </c>
      <c r="C36" s="994" t="str">
        <f>Tab.G17!$B$11</f>
        <v>02</v>
      </c>
      <c r="D36" s="995"/>
      <c r="E36" s="650" t="str">
        <f>Tab.G17!$B$12</f>
        <v>03</v>
      </c>
      <c r="F36" s="709"/>
      <c r="G36" s="709"/>
      <c r="H36" s="218"/>
      <c r="I36" s="218"/>
    </row>
    <row r="37" spans="1:9" s="163" customFormat="1" ht="18.899999999999999" customHeight="1" thickBot="1">
      <c r="A37" s="161"/>
      <c r="B37" s="726" t="str">
        <v>02</v>
      </c>
      <c r="C37" s="727" t="s">
        <v>11</v>
      </c>
      <c r="D37" s="715" t="s">
        <v>111</v>
      </c>
      <c r="E37" s="728">
        <f>E38+E41+E49</f>
        <v>0</v>
      </c>
      <c r="F37" s="709"/>
      <c r="G37" s="709"/>
      <c r="H37" s="162"/>
      <c r="I37" s="162"/>
    </row>
    <row r="38" spans="1:9" s="163" customFormat="1" ht="18.899999999999999" customHeight="1">
      <c r="A38" s="161"/>
      <c r="B38" s="718" t="str">
        <v>03</v>
      </c>
      <c r="C38" s="164" t="str">
        <f>C12</f>
        <v xml:space="preserve">A. Przyłączenia nowych odbiorców i nowych źródeł </v>
      </c>
      <c r="D38" s="254" t="str">
        <f t="shared" ref="D38:D56" si="1">$D$37</f>
        <v>[%]</v>
      </c>
      <c r="E38" s="185">
        <f>IF(E11=0,0,E12/E11)</f>
        <v>0</v>
      </c>
      <c r="F38" s="709"/>
      <c r="G38" s="709"/>
      <c r="H38" s="166"/>
      <c r="I38" s="166"/>
    </row>
    <row r="39" spans="1:9" s="163" customFormat="1" ht="18.899999999999999" customHeight="1">
      <c r="A39" s="161"/>
      <c r="B39" s="719" t="str">
        <v>04</v>
      </c>
      <c r="C39" s="167" t="str">
        <f>C13</f>
        <v>Przyłączenia nowych odbiorców</v>
      </c>
      <c r="D39" s="242" t="str">
        <f t="shared" si="1"/>
        <v>[%]</v>
      </c>
      <c r="E39" s="186">
        <f t="shared" ref="E39:E40" si="2">IF(E$12=0,0,E13/E$12)</f>
        <v>0</v>
      </c>
      <c r="F39" s="709"/>
      <c r="G39" s="709"/>
      <c r="H39" s="169"/>
      <c r="I39" s="166"/>
    </row>
    <row r="40" spans="1:9" s="163" customFormat="1" ht="18.899999999999999" customHeight="1">
      <c r="A40" s="161"/>
      <c r="B40" s="719" t="str">
        <v>05</v>
      </c>
      <c r="C40" s="167" t="str">
        <f>C14</f>
        <v>Przyłączenia nowych źródeł</v>
      </c>
      <c r="D40" s="243" t="str">
        <f t="shared" si="1"/>
        <v>[%]</v>
      </c>
      <c r="E40" s="186">
        <f t="shared" si="2"/>
        <v>0</v>
      </c>
      <c r="F40" s="709"/>
      <c r="G40" s="709"/>
      <c r="H40" s="169"/>
      <c r="I40" s="166"/>
    </row>
    <row r="41" spans="1:9" s="163" customFormat="1" ht="36.9" customHeight="1">
      <c r="A41" s="161"/>
      <c r="B41" s="718" t="str">
        <v>06</v>
      </c>
      <c r="C41" s="164" t="str">
        <f>C15</f>
        <v>B. Nakłady na modernizację i wymianę elementów składowych sieci dystrybucyjnej oraz gazyfikacjię terenów niezgazyfikowanych</v>
      </c>
      <c r="D41" s="244" t="str">
        <f t="shared" si="1"/>
        <v>[%]</v>
      </c>
      <c r="E41" s="185">
        <f>IF(E11=0,0,E15/E11)</f>
        <v>0</v>
      </c>
      <c r="F41" s="709"/>
      <c r="G41" s="709"/>
      <c r="H41" s="166"/>
      <c r="I41" s="166"/>
    </row>
    <row r="42" spans="1:9" s="236" customFormat="1" ht="36.9" customHeight="1">
      <c r="A42" s="235"/>
      <c r="B42" s="720" t="str">
        <v>07</v>
      </c>
      <c r="C42" s="187" t="s">
        <v>15</v>
      </c>
      <c r="D42" s="245" t="str">
        <f t="shared" si="1"/>
        <v>[%]</v>
      </c>
      <c r="E42" s="188">
        <f>IF(E$15=0,0,E16/E$15)</f>
        <v>0</v>
      </c>
      <c r="F42" s="709"/>
      <c r="G42" s="709"/>
      <c r="H42" s="189"/>
      <c r="I42" s="190"/>
    </row>
    <row r="43" spans="1:9" s="163" customFormat="1" ht="18.899999999999999" customHeight="1">
      <c r="A43" s="161"/>
      <c r="B43" s="720" t="str">
        <v>08</v>
      </c>
      <c r="C43" s="170" t="s">
        <v>12</v>
      </c>
      <c r="D43" s="246" t="str">
        <f t="shared" si="1"/>
        <v>[%]</v>
      </c>
      <c r="E43" s="186">
        <f>IF(E$16=0,0,E17/E$16)</f>
        <v>0</v>
      </c>
      <c r="F43" s="709"/>
      <c r="G43" s="709"/>
      <c r="H43" s="169"/>
      <c r="I43" s="169"/>
    </row>
    <row r="44" spans="1:9" s="163" customFormat="1" ht="18.899999999999999" customHeight="1">
      <c r="A44" s="161"/>
      <c r="B44" s="720" t="str">
        <v>09</v>
      </c>
      <c r="C44" s="171" t="s">
        <v>34</v>
      </c>
      <c r="D44" s="247" t="str">
        <f t="shared" si="1"/>
        <v>[%]</v>
      </c>
      <c r="E44" s="186">
        <f t="shared" ref="E44:E45" si="3">IF(E$17=0,0,E18/E$17)</f>
        <v>0</v>
      </c>
      <c r="F44" s="709"/>
      <c r="G44" s="709"/>
      <c r="H44" s="169"/>
      <c r="I44" s="169"/>
    </row>
    <row r="45" spans="1:9" s="163" customFormat="1" ht="18.899999999999999" customHeight="1">
      <c r="A45" s="161"/>
      <c r="B45" s="721" t="str">
        <v>10</v>
      </c>
      <c r="C45" s="171" t="s">
        <v>13</v>
      </c>
      <c r="D45" s="248" t="str">
        <f t="shared" si="1"/>
        <v>[%]</v>
      </c>
      <c r="E45" s="186">
        <f t="shared" si="3"/>
        <v>0</v>
      </c>
      <c r="F45" s="709"/>
      <c r="G45" s="709"/>
      <c r="H45" s="169"/>
      <c r="I45" s="169"/>
    </row>
    <row r="46" spans="1:9" s="163" customFormat="1" ht="27.75" customHeight="1">
      <c r="A46" s="161"/>
      <c r="B46" s="720" t="str">
        <v>11</v>
      </c>
      <c r="C46" s="226" t="s">
        <v>97</v>
      </c>
      <c r="D46" s="249" t="str">
        <f t="shared" si="1"/>
        <v>[%]</v>
      </c>
      <c r="E46" s="186">
        <f t="shared" ref="E46:E47" si="4">IF(E$16=0,0,E20/E$16)</f>
        <v>0</v>
      </c>
      <c r="F46" s="709"/>
      <c r="G46" s="709"/>
      <c r="H46" s="169"/>
      <c r="I46" s="169"/>
    </row>
    <row r="47" spans="1:9" s="163" customFormat="1" ht="30" customHeight="1">
      <c r="A47" s="161"/>
      <c r="B47" s="721" t="str">
        <v>12</v>
      </c>
      <c r="C47" s="174" t="s">
        <v>7</v>
      </c>
      <c r="D47" s="247" t="str">
        <f t="shared" si="1"/>
        <v>[%]</v>
      </c>
      <c r="E47" s="186">
        <f t="shared" si="4"/>
        <v>0</v>
      </c>
      <c r="F47" s="709"/>
      <c r="G47" s="709"/>
      <c r="H47" s="169"/>
      <c r="I47" s="169"/>
    </row>
    <row r="48" spans="1:9" s="236" customFormat="1" ht="30.75" customHeight="1" thickBot="1">
      <c r="A48" s="235"/>
      <c r="B48" s="722" t="str">
        <v>13</v>
      </c>
      <c r="C48" s="175" t="str">
        <f>C22</f>
        <v>Budowa sieci na terenach niezgazyfikowanych (ekspansja na nowe tereny - sieci i przyłącza)</v>
      </c>
      <c r="D48" s="250" t="str">
        <f t="shared" si="1"/>
        <v>[%]</v>
      </c>
      <c r="E48" s="188">
        <f>IF(E$15=0,0,E22/E$15)</f>
        <v>0</v>
      </c>
      <c r="F48" s="709"/>
      <c r="G48" s="709"/>
      <c r="H48" s="189"/>
      <c r="I48" s="189"/>
    </row>
    <row r="49" spans="1:9" s="163" customFormat="1" ht="18.899999999999999" customHeight="1">
      <c r="A49" s="161"/>
      <c r="B49" s="723" t="str">
        <v>14</v>
      </c>
      <c r="C49" s="191" t="s">
        <v>115</v>
      </c>
      <c r="D49" s="251" t="str">
        <f t="shared" si="1"/>
        <v>[%]</v>
      </c>
      <c r="E49" s="192">
        <f>IF(E11=0,0,E23/E11)</f>
        <v>0</v>
      </c>
      <c r="F49" s="709"/>
      <c r="G49" s="709"/>
      <c r="H49" s="166"/>
      <c r="I49" s="166"/>
    </row>
    <row r="50" spans="1:9" s="163" customFormat="1" ht="40.200000000000003">
      <c r="A50" s="161"/>
      <c r="B50" s="721" t="str">
        <v>15</v>
      </c>
      <c r="C50" s="193" t="s">
        <v>98</v>
      </c>
      <c r="D50" s="252" t="str">
        <f t="shared" si="1"/>
        <v>[%]</v>
      </c>
      <c r="E50" s="186">
        <f t="shared" ref="E50:E56" si="5">IF(E$23=0,0,E24/E$23)</f>
        <v>0</v>
      </c>
      <c r="F50" s="709"/>
      <c r="G50" s="709"/>
      <c r="H50" s="169"/>
      <c r="I50" s="169"/>
    </row>
    <row r="51" spans="1:9" s="163" customFormat="1" ht="40.200000000000003">
      <c r="A51" s="161"/>
      <c r="B51" s="720" t="str">
        <v>16</v>
      </c>
      <c r="C51" s="227" t="s">
        <v>99</v>
      </c>
      <c r="D51" s="252" t="str">
        <f t="shared" si="1"/>
        <v>[%]</v>
      </c>
      <c r="E51" s="186">
        <f t="shared" si="5"/>
        <v>0</v>
      </c>
      <c r="F51" s="709"/>
      <c r="G51" s="709"/>
      <c r="H51" s="169"/>
      <c r="I51" s="169"/>
    </row>
    <row r="52" spans="1:9" s="163" customFormat="1" ht="33.75" customHeight="1">
      <c r="A52" s="161"/>
      <c r="B52" s="720" t="str">
        <v>17</v>
      </c>
      <c r="C52" s="228" t="s">
        <v>100</v>
      </c>
      <c r="D52" s="252" t="str">
        <f t="shared" si="1"/>
        <v>[%]</v>
      </c>
      <c r="E52" s="186">
        <f t="shared" si="5"/>
        <v>0</v>
      </c>
      <c r="F52" s="709"/>
      <c r="G52" s="709"/>
      <c r="H52" s="169"/>
      <c r="I52" s="169"/>
    </row>
    <row r="53" spans="1:9" s="163" customFormat="1">
      <c r="A53" s="161"/>
      <c r="B53" s="724" t="str">
        <v>18</v>
      </c>
      <c r="C53" s="180" t="s">
        <v>101</v>
      </c>
      <c r="D53" s="252" t="str">
        <f t="shared" si="1"/>
        <v>[%]</v>
      </c>
      <c r="E53" s="186">
        <f t="shared" si="5"/>
        <v>0</v>
      </c>
      <c r="F53" s="709"/>
      <c r="G53" s="709"/>
      <c r="H53" s="169"/>
      <c r="I53" s="169"/>
    </row>
    <row r="54" spans="1:9" s="163" customFormat="1">
      <c r="A54" s="161"/>
      <c r="B54" s="720" t="str">
        <v>19</v>
      </c>
      <c r="C54" s="194" t="s">
        <v>8</v>
      </c>
      <c r="D54" s="252" t="str">
        <f t="shared" si="1"/>
        <v>[%]</v>
      </c>
      <c r="E54" s="186">
        <f t="shared" si="5"/>
        <v>0</v>
      </c>
      <c r="F54" s="709"/>
      <c r="G54" s="709"/>
      <c r="H54" s="169"/>
      <c r="I54" s="169"/>
    </row>
    <row r="55" spans="1:9" s="163" customFormat="1">
      <c r="A55" s="161"/>
      <c r="B55" s="721" t="str">
        <v>20</v>
      </c>
      <c r="C55" s="195" t="str">
        <f>C29</f>
        <v>Zakup środków transportu</v>
      </c>
      <c r="D55" s="252" t="str">
        <f t="shared" si="1"/>
        <v>[%]</v>
      </c>
      <c r="E55" s="186">
        <f t="shared" si="5"/>
        <v>0</v>
      </c>
      <c r="F55" s="709"/>
      <c r="G55" s="709"/>
      <c r="H55" s="169"/>
      <c r="I55" s="169"/>
    </row>
    <row r="56" spans="1:9" s="163" customFormat="1" ht="52.5" customHeight="1" thickBot="1">
      <c r="A56" s="161"/>
      <c r="B56" s="725" t="str">
        <v>21</v>
      </c>
      <c r="C56" s="237" t="str">
        <f>C30</f>
        <v>Inne  
(opłaty za przyłączenie do sieci innych operatorów, kontrola nawaniania gazu, ochrona środowiska)*</v>
      </c>
      <c r="D56" s="253" t="str">
        <f t="shared" si="1"/>
        <v>[%]</v>
      </c>
      <c r="E56" s="196">
        <f t="shared" si="5"/>
        <v>0</v>
      </c>
      <c r="F56" s="709"/>
      <c r="G56" s="709"/>
      <c r="H56" s="169"/>
      <c r="I56" s="169"/>
    </row>
    <row r="57" spans="1:9" s="163" customFormat="1" ht="18.899999999999999" customHeight="1">
      <c r="A57" s="161"/>
      <c r="B57" s="230" t="s">
        <v>2</v>
      </c>
      <c r="C57" s="231" t="s">
        <v>3</v>
      </c>
      <c r="D57" s="232"/>
      <c r="E57" s="233"/>
      <c r="F57" s="233"/>
      <c r="G57" s="233"/>
      <c r="H57" s="158"/>
      <c r="I57" s="158"/>
    </row>
    <row r="58" spans="1:9" s="163" customFormat="1" ht="18.899999999999999" customHeight="1">
      <c r="A58" s="161"/>
      <c r="B58" s="161"/>
      <c r="C58" s="161"/>
      <c r="D58" s="158"/>
      <c r="E58" s="161"/>
      <c r="F58" s="161"/>
      <c r="G58" s="161"/>
      <c r="H58" s="158"/>
      <c r="I58" s="158"/>
    </row>
    <row r="59" spans="1:9" s="163" customFormat="1" ht="30" customHeight="1" thickBot="1">
      <c r="A59" s="737"/>
      <c r="B59" s="738" t="s">
        <v>129</v>
      </c>
      <c r="C59" s="737"/>
      <c r="D59" s="729"/>
      <c r="E59" s="737"/>
      <c r="F59" s="737"/>
      <c r="G59" s="737"/>
      <c r="H59" s="729"/>
      <c r="I59" s="158"/>
    </row>
    <row r="60" spans="1:9" s="163" customFormat="1" ht="18.899999999999999" customHeight="1">
      <c r="A60" s="737"/>
      <c r="B60" s="996" t="str">
        <f>$B$8</f>
        <v>LP</v>
      </c>
      <c r="C60" s="998" t="str">
        <f>$C$8</f>
        <v>Wyszczególnienie</v>
      </c>
      <c r="D60" s="999"/>
      <c r="E60" s="632" t="str">
        <f>$E$8</f>
        <v>Wykonanie</v>
      </c>
      <c r="F60" s="709"/>
      <c r="G60" s="709"/>
      <c r="H60" s="729"/>
      <c r="I60" s="158"/>
    </row>
    <row r="61" spans="1:9" s="163" customFormat="1" ht="18.899999999999999" customHeight="1">
      <c r="A61" s="737"/>
      <c r="B61" s="997"/>
      <c r="C61" s="1000"/>
      <c r="D61" s="1001"/>
      <c r="E61" s="717">
        <f>Rok_ZPR</f>
        <v>2020</v>
      </c>
      <c r="F61" s="709"/>
      <c r="G61" s="709"/>
      <c r="H61" s="729"/>
      <c r="I61" s="158"/>
    </row>
    <row r="62" spans="1:9" s="163" customFormat="1" ht="14.1" customHeight="1" thickBot="1">
      <c r="A62" s="737"/>
      <c r="B62" s="649" t="str">
        <f t="array" ref="B62:B68">Tab.G17!$B$10:$B$16</f>
        <v>01</v>
      </c>
      <c r="C62" s="1002" t="str">
        <f>Tab.G17!$B$11</f>
        <v>02</v>
      </c>
      <c r="D62" s="995"/>
      <c r="E62" s="650" t="str">
        <f>Tab.G17!$B$12</f>
        <v>03</v>
      </c>
      <c r="F62" s="709"/>
      <c r="G62" s="709"/>
      <c r="H62" s="729"/>
      <c r="I62" s="158"/>
    </row>
    <row r="63" spans="1:9" s="163" customFormat="1" ht="18.899999999999999" customHeight="1" thickBot="1">
      <c r="A63" s="737"/>
      <c r="B63" s="726" t="str">
        <v>02</v>
      </c>
      <c r="C63" s="739" t="s">
        <v>66</v>
      </c>
      <c r="D63" s="740" t="str">
        <f t="shared" ref="D63:D68" si="6">$D$11</f>
        <v>[tys. zł]</v>
      </c>
      <c r="E63" s="741">
        <f>SUM(E64:E68)</f>
        <v>0</v>
      </c>
      <c r="F63" s="709"/>
      <c r="G63" s="709"/>
      <c r="H63" s="729"/>
      <c r="I63" s="158"/>
    </row>
    <row r="64" spans="1:9" ht="18.899999999999999" customHeight="1">
      <c r="A64" s="737"/>
      <c r="B64" s="742" t="str">
        <v>03</v>
      </c>
      <c r="C64" s="259" t="s">
        <v>67</v>
      </c>
      <c r="D64" s="260" t="str">
        <f t="shared" si="6"/>
        <v>[tys. zł]</v>
      </c>
      <c r="E64" s="205"/>
      <c r="F64" s="709"/>
      <c r="G64" s="709"/>
      <c r="H64" s="729"/>
    </row>
    <row r="65" spans="1:8" ht="18.899999999999999" customHeight="1">
      <c r="A65" s="737"/>
      <c r="B65" s="743" t="str">
        <v>04</v>
      </c>
      <c r="C65" s="257" t="s">
        <v>68</v>
      </c>
      <c r="D65" s="255" t="str">
        <f t="shared" si="6"/>
        <v>[tys. zł]</v>
      </c>
      <c r="E65" s="238"/>
      <c r="F65" s="709"/>
      <c r="G65" s="709"/>
      <c r="H65" s="729"/>
    </row>
    <row r="66" spans="1:8" ht="18.899999999999999" customHeight="1">
      <c r="A66" s="737"/>
      <c r="B66" s="743" t="str">
        <v>05</v>
      </c>
      <c r="C66" s="257" t="s">
        <v>69</v>
      </c>
      <c r="D66" s="255" t="str">
        <f t="shared" si="6"/>
        <v>[tys. zł]</v>
      </c>
      <c r="E66" s="238"/>
      <c r="F66" s="709"/>
      <c r="G66" s="709"/>
      <c r="H66" s="729"/>
    </row>
    <row r="67" spans="1:8" ht="18.899999999999999" customHeight="1">
      <c r="A67" s="737"/>
      <c r="B67" s="743" t="str">
        <v>06</v>
      </c>
      <c r="C67" s="257" t="s">
        <v>70</v>
      </c>
      <c r="D67" s="255" t="str">
        <f t="shared" si="6"/>
        <v>[tys. zł]</v>
      </c>
      <c r="E67" s="238"/>
      <c r="F67" s="709"/>
      <c r="G67" s="709"/>
      <c r="H67" s="729"/>
    </row>
    <row r="68" spans="1:8" ht="18.899999999999999" customHeight="1" thickBot="1">
      <c r="A68" s="737"/>
      <c r="B68" s="744" t="str">
        <v>07</v>
      </c>
      <c r="C68" s="258" t="s">
        <v>71</v>
      </c>
      <c r="D68" s="256" t="str">
        <f t="shared" si="6"/>
        <v>[tys. zł]</v>
      </c>
      <c r="E68" s="239"/>
      <c r="F68" s="709"/>
      <c r="G68" s="709"/>
      <c r="H68" s="729"/>
    </row>
    <row r="69" spans="1:8" ht="18.899999999999999" customHeight="1">
      <c r="A69" s="737"/>
      <c r="B69" s="737"/>
      <c r="C69" s="737"/>
      <c r="D69" s="729"/>
      <c r="E69" s="737"/>
      <c r="F69" s="737"/>
      <c r="G69" s="737"/>
      <c r="H69" s="729"/>
    </row>
    <row r="70" spans="1:8" ht="18.899999999999999" customHeight="1">
      <c r="A70" s="737"/>
      <c r="B70" s="737"/>
      <c r="C70" s="737"/>
      <c r="D70" s="729"/>
      <c r="E70" s="737"/>
      <c r="F70" s="737"/>
      <c r="G70" s="737"/>
      <c r="H70" s="729"/>
    </row>
    <row r="71" spans="1:8" ht="30" customHeight="1" thickBot="1">
      <c r="A71" s="709"/>
      <c r="B71" s="738" t="str">
        <f>"Tabela G1.4. Poniesione nakłady inwestycyjne na Program, o którym mowa w ustawie o elektromobilności"</f>
        <v>Tabela G1.4. Poniesione nakłady inwestycyjne na Program, o którym mowa w ustawie o elektromobilności</v>
      </c>
      <c r="C71" s="737"/>
      <c r="D71" s="709"/>
      <c r="E71" s="709"/>
      <c r="F71" s="709"/>
      <c r="G71" s="737"/>
      <c r="H71" s="729"/>
    </row>
    <row r="72" spans="1:8" ht="18.899999999999999" customHeight="1">
      <c r="A72" s="709"/>
      <c r="B72" s="996" t="str">
        <f>$B$8</f>
        <v>LP</v>
      </c>
      <c r="C72" s="998" t="str">
        <f>$C$8</f>
        <v>Wyszczególnienie</v>
      </c>
      <c r="D72" s="999"/>
      <c r="E72" s="632" t="str">
        <f>$E$8</f>
        <v>Wykonanie</v>
      </c>
      <c r="F72" s="709"/>
      <c r="G72" s="737"/>
      <c r="H72" s="729"/>
    </row>
    <row r="73" spans="1:8" ht="18.899999999999999" customHeight="1">
      <c r="A73" s="709"/>
      <c r="B73" s="997"/>
      <c r="C73" s="1000"/>
      <c r="D73" s="1001"/>
      <c r="E73" s="717">
        <f>Rok_ZPR</f>
        <v>2020</v>
      </c>
      <c r="F73" s="709"/>
      <c r="G73" s="709"/>
      <c r="H73" s="729"/>
    </row>
    <row r="74" spans="1:8" ht="18.899999999999999" customHeight="1" thickBot="1">
      <c r="A74" s="709"/>
      <c r="B74" s="649" t="str">
        <f t="array" ref="B74:B80">Tab.G17!$B$10:$B$16</f>
        <v>01</v>
      </c>
      <c r="C74" s="1002" t="str">
        <f>Tab.G17!$B$11</f>
        <v>02</v>
      </c>
      <c r="D74" s="995"/>
      <c r="E74" s="650" t="str">
        <f>Tab.G17!$B$12</f>
        <v>03</v>
      </c>
      <c r="F74" s="709"/>
      <c r="G74" s="709"/>
      <c r="H74" s="729"/>
    </row>
    <row r="75" spans="1:8" ht="18.899999999999999" customHeight="1" thickBot="1">
      <c r="A75" s="709"/>
      <c r="B75" s="726" t="str">
        <v>02</v>
      </c>
      <c r="C75" s="977" t="str">
        <f>"Nakłady na Program ogółem, z tego:"</f>
        <v>Nakłady na Program ogółem, z tego:</v>
      </c>
      <c r="D75" s="740" t="str">
        <f t="shared" ref="D75:D80" si="7">$D$11</f>
        <v>[tys. zł]</v>
      </c>
      <c r="E75" s="741">
        <f>SUM(E76,E80)</f>
        <v>0</v>
      </c>
      <c r="F75" s="709"/>
      <c r="G75" s="709"/>
      <c r="H75" s="729"/>
    </row>
    <row r="76" spans="1:8" ht="18.899999999999999" customHeight="1">
      <c r="A76" s="709"/>
      <c r="B76" s="822" t="str">
        <v>03</v>
      </c>
      <c r="C76" s="823" t="str">
        <f>"I. Nakłady na majątek sieciowy/dystrybucyjny paliw gazowych"</f>
        <v>I. Nakłady na majątek sieciowy/dystrybucyjny paliw gazowych</v>
      </c>
      <c r="D76" s="824" t="str">
        <f t="shared" si="7"/>
        <v>[tys. zł]</v>
      </c>
      <c r="E76" s="825">
        <f>SUM(E77:E79)</f>
        <v>0</v>
      </c>
      <c r="F76" s="709"/>
      <c r="G76" s="709"/>
      <c r="H76" s="729"/>
    </row>
    <row r="77" spans="1:8" ht="18.899999999999999" customHeight="1">
      <c r="A77" s="709"/>
      <c r="B77" s="826" t="str">
        <v>04</v>
      </c>
      <c r="C77" s="827" t="str">
        <f>"A1. Przyłączenia nowych stacji CNG do sieci dystrybucyjnej"</f>
        <v>A1. Przyłączenia nowych stacji CNG do sieci dystrybucyjnej</v>
      </c>
      <c r="D77" s="828" t="str">
        <f t="shared" si="7"/>
        <v>[tys. zł]</v>
      </c>
      <c r="E77" s="829">
        <f>SUM('Tab.G2.1E-6E'!E12,'Tab.G2.1E-6E'!E46,'Tab.G2.1E-6E'!E61)</f>
        <v>0</v>
      </c>
      <c r="F77" s="709"/>
      <c r="G77" s="709"/>
      <c r="H77" s="729"/>
    </row>
    <row r="78" spans="1:8" ht="35.1" customHeight="1">
      <c r="A78" s="709"/>
      <c r="B78" s="826" t="str">
        <v>05</v>
      </c>
      <c r="C78" s="830" t="str">
        <f>"B1. Modernizacja i wymiana elementów składowych sieci dystrybucyjnej związana z przyłączaniem nowych stacji CNG"</f>
        <v>B1. Modernizacja i wymiana elementów składowych sieci dystrybucyjnej związana z przyłączaniem nowych stacji CNG</v>
      </c>
      <c r="D78" s="828" t="str">
        <f t="shared" si="7"/>
        <v>[tys. zł]</v>
      </c>
      <c r="E78" s="829">
        <f>SUM('Tab.G5.1E-3E'!E11,'Tab.G5.1E-3E'!E40,'Tab.G5.1E-3E'!E55)</f>
        <v>0</v>
      </c>
      <c r="F78" s="709"/>
      <c r="G78" s="709"/>
      <c r="H78" s="729"/>
    </row>
    <row r="79" spans="1:8" ht="35.1" customHeight="1">
      <c r="A79" s="709"/>
      <c r="B79" s="826" t="str">
        <v>06</v>
      </c>
      <c r="C79" s="830" t="str">
        <f>"C1. Nakłady inwestycyjne pozostałe związane z przyłączaniem nowych stacji CNG, nie ujęte w pkt A1 i B1"</f>
        <v>C1. Nakłady inwestycyjne pozostałe związane z przyłączaniem nowych stacji CNG, nie ujęte w pkt A1 i B1</v>
      </c>
      <c r="D79" s="828" t="str">
        <f t="shared" si="7"/>
        <v>[tys. zł]</v>
      </c>
      <c r="E79" s="829">
        <f>SUM(Tab.G7E!J613,Tab.G8E!J613,Tab.G9E!J613,Tab.G10E!J613,Tab.G11E!J613,Tab.G13E!J613)</f>
        <v>0</v>
      </c>
      <c r="F79" s="709"/>
      <c r="G79" s="709"/>
      <c r="H79" s="729"/>
    </row>
    <row r="80" spans="1:8" ht="35.1" customHeight="1" thickBot="1">
      <c r="A80" s="709"/>
      <c r="B80" s="831" t="str">
        <v>07</v>
      </c>
      <c r="C80" s="832" t="str">
        <f>"II. Nakłady na majątek niesieciowy (budowa infrastruktury wewnętrznej stacji CNG i LNG)"</f>
        <v>II. Nakłady na majątek niesieciowy (budowa infrastruktury wewnętrznej stacji CNG i LNG)</v>
      </c>
      <c r="D80" s="833" t="str">
        <f t="shared" si="7"/>
        <v>[tys. zł]</v>
      </c>
      <c r="E80" s="834">
        <f>'Tab.G2.1E-6E'!$E$198</f>
        <v>0</v>
      </c>
      <c r="F80" s="709"/>
      <c r="G80" s="709"/>
      <c r="H80" s="729"/>
    </row>
    <row r="81" spans="1:8" ht="18.899999999999999" customHeight="1">
      <c r="A81" s="709"/>
      <c r="B81" s="709"/>
      <c r="C81" s="709"/>
      <c r="D81" s="709"/>
      <c r="E81" s="709"/>
      <c r="F81" s="709"/>
      <c r="G81" s="709"/>
      <c r="H81" s="729"/>
    </row>
    <row r="82" spans="1:8" ht="18.899999999999999" customHeight="1">
      <c r="A82" s="709"/>
      <c r="B82" s="709"/>
      <c r="C82" s="709"/>
      <c r="D82" s="709"/>
      <c r="E82" s="709"/>
      <c r="F82" s="709"/>
      <c r="G82" s="709"/>
      <c r="H82" s="729"/>
    </row>
    <row r="83" spans="1:8" ht="18.899999999999999" customHeight="1">
      <c r="A83" s="709"/>
      <c r="B83" s="709"/>
      <c r="C83" s="709"/>
      <c r="D83" s="709"/>
      <c r="E83" s="709"/>
      <c r="F83" s="709"/>
      <c r="G83" s="709"/>
      <c r="H83" s="729"/>
    </row>
    <row r="84" spans="1:8" ht="18.899999999999999" customHeight="1">
      <c r="A84" s="709"/>
      <c r="B84" s="709"/>
      <c r="C84" s="709"/>
      <c r="D84" s="709"/>
      <c r="E84" s="709"/>
      <c r="F84" s="709"/>
      <c r="G84" s="737"/>
      <c r="H84" s="729"/>
    </row>
    <row r="85" spans="1:8" ht="18.899999999999999" customHeight="1">
      <c r="A85" s="737"/>
      <c r="B85" s="737"/>
      <c r="C85" s="737"/>
      <c r="D85" s="729"/>
      <c r="E85" s="737"/>
      <c r="F85" s="737"/>
      <c r="G85" s="737"/>
      <c r="H85" s="729"/>
    </row>
    <row r="86" spans="1:8" ht="18.899999999999999" customHeight="1">
      <c r="A86" s="737"/>
      <c r="B86" s="737"/>
      <c r="C86" s="737"/>
      <c r="D86" s="729"/>
      <c r="E86" s="737"/>
      <c r="F86" s="737"/>
      <c r="G86" s="737"/>
      <c r="H86" s="729"/>
    </row>
    <row r="87" spans="1:8" ht="18.899999999999999" customHeight="1">
      <c r="A87" s="737"/>
      <c r="B87" s="737"/>
      <c r="C87" s="737"/>
      <c r="D87" s="729"/>
      <c r="E87" s="737"/>
      <c r="F87" s="737"/>
      <c r="G87" s="737"/>
      <c r="H87" s="729"/>
    </row>
    <row r="88" spans="1:8" ht="18.899999999999999" customHeight="1">
      <c r="D88" s="163"/>
    </row>
    <row r="89" spans="1:8" ht="18.899999999999999" customHeight="1">
      <c r="D89" s="163"/>
    </row>
    <row r="90" spans="1:8" ht="18.899999999999999" customHeight="1">
      <c r="D90" s="163"/>
    </row>
    <row r="91" spans="1:8" ht="18.899999999999999" customHeight="1">
      <c r="D91" s="163"/>
    </row>
    <row r="92" spans="1:8" ht="18.899999999999999" customHeight="1">
      <c r="D92" s="163"/>
    </row>
    <row r="93" spans="1:8" ht="18.899999999999999" customHeight="1">
      <c r="D93" s="163"/>
    </row>
    <row r="94" spans="1:8" ht="18.899999999999999" customHeight="1">
      <c r="D94" s="163"/>
    </row>
    <row r="95" spans="1:8" ht="18.899999999999999" customHeight="1">
      <c r="D95" s="163"/>
    </row>
    <row r="96" spans="1:8" ht="18.899999999999999" customHeight="1">
      <c r="D96" s="163"/>
    </row>
    <row r="97" spans="4:4">
      <c r="D97" s="163"/>
    </row>
    <row r="98" spans="4:4">
      <c r="D98" s="163"/>
    </row>
    <row r="99" spans="4:4">
      <c r="D99" s="163"/>
    </row>
    <row r="100" spans="4:4">
      <c r="D100" s="163"/>
    </row>
    <row r="101" spans="4:4">
      <c r="D101" s="163"/>
    </row>
    <row r="102" spans="4:4">
      <c r="D102" s="163"/>
    </row>
    <row r="103" spans="4:4">
      <c r="D103" s="163"/>
    </row>
    <row r="104" spans="4:4">
      <c r="D104" s="163"/>
    </row>
    <row r="105" spans="4:4">
      <c r="D105" s="163"/>
    </row>
    <row r="106" spans="4:4">
      <c r="D106" s="163"/>
    </row>
    <row r="107" spans="4:4">
      <c r="D107" s="163"/>
    </row>
    <row r="108" spans="4:4">
      <c r="D108" s="163"/>
    </row>
    <row r="109" spans="4:4">
      <c r="D109" s="163"/>
    </row>
    <row r="110" spans="4:4">
      <c r="D110" s="163"/>
    </row>
    <row r="111" spans="4:4">
      <c r="D111" s="163"/>
    </row>
    <row r="112" spans="4:4">
      <c r="D112" s="163"/>
    </row>
    <row r="113" spans="4:4">
      <c r="D113" s="163"/>
    </row>
    <row r="114" spans="4:4">
      <c r="D114" s="163"/>
    </row>
    <row r="115" spans="4:4">
      <c r="D115" s="163"/>
    </row>
    <row r="116" spans="4:4">
      <c r="D116" s="163"/>
    </row>
    <row r="117" spans="4:4">
      <c r="D117" s="163"/>
    </row>
    <row r="118" spans="4:4">
      <c r="D118" s="163"/>
    </row>
    <row r="119" spans="4:4">
      <c r="D119" s="163"/>
    </row>
    <row r="120" spans="4:4">
      <c r="D120" s="163"/>
    </row>
    <row r="121" spans="4:4">
      <c r="D121" s="163"/>
    </row>
    <row r="122" spans="4:4">
      <c r="D122" s="163"/>
    </row>
    <row r="123" spans="4:4">
      <c r="D123" s="163"/>
    </row>
    <row r="124" spans="4:4">
      <c r="D124" s="163"/>
    </row>
    <row r="125" spans="4:4">
      <c r="D125" s="163"/>
    </row>
    <row r="126" spans="4:4">
      <c r="D126" s="163"/>
    </row>
    <row r="127" spans="4:4">
      <c r="D127" s="163"/>
    </row>
    <row r="128" spans="4:4">
      <c r="D128" s="163"/>
    </row>
    <row r="129" spans="4:4">
      <c r="D129" s="163"/>
    </row>
    <row r="130" spans="4:4">
      <c r="D130" s="163"/>
    </row>
    <row r="131" spans="4:4">
      <c r="D131" s="163"/>
    </row>
    <row r="132" spans="4:4">
      <c r="D132" s="163"/>
    </row>
    <row r="133" spans="4:4">
      <c r="D133" s="163"/>
    </row>
    <row r="134" spans="4:4">
      <c r="D134" s="163"/>
    </row>
    <row r="135" spans="4:4">
      <c r="D135" s="163"/>
    </row>
    <row r="136" spans="4:4">
      <c r="D136" s="163"/>
    </row>
    <row r="137" spans="4:4">
      <c r="D137" s="163"/>
    </row>
    <row r="138" spans="4:4">
      <c r="D138" s="163"/>
    </row>
    <row r="139" spans="4:4">
      <c r="D139" s="163"/>
    </row>
    <row r="140" spans="4:4">
      <c r="D140" s="163"/>
    </row>
    <row r="141" spans="4:4">
      <c r="D141" s="163"/>
    </row>
    <row r="142" spans="4:4">
      <c r="D142" s="163"/>
    </row>
    <row r="143" spans="4:4">
      <c r="D143" s="163"/>
    </row>
    <row r="144" spans="4:4">
      <c r="D144" s="163"/>
    </row>
    <row r="145" spans="4:4">
      <c r="D145" s="163"/>
    </row>
    <row r="146" spans="4:4">
      <c r="D146" s="163"/>
    </row>
    <row r="147" spans="4:4">
      <c r="D147" s="163"/>
    </row>
    <row r="148" spans="4:4">
      <c r="D148" s="163"/>
    </row>
    <row r="149" spans="4:4">
      <c r="D149" s="163"/>
    </row>
    <row r="150" spans="4:4">
      <c r="D150" s="163"/>
    </row>
    <row r="151" spans="4:4">
      <c r="D151" s="163"/>
    </row>
    <row r="152" spans="4:4">
      <c r="D152" s="163"/>
    </row>
    <row r="153" spans="4:4">
      <c r="D153" s="163"/>
    </row>
    <row r="154" spans="4:4">
      <c r="D154" s="163"/>
    </row>
    <row r="155" spans="4:4">
      <c r="D155" s="163"/>
    </row>
    <row r="156" spans="4:4">
      <c r="D156" s="163"/>
    </row>
    <row r="157" spans="4:4">
      <c r="D157" s="163"/>
    </row>
    <row r="158" spans="4:4">
      <c r="D158" s="163"/>
    </row>
    <row r="159" spans="4:4">
      <c r="D159" s="163"/>
    </row>
    <row r="160" spans="4:4">
      <c r="D160" s="163"/>
    </row>
    <row r="161" spans="4:4">
      <c r="D161" s="163"/>
    </row>
    <row r="162" spans="4:4">
      <c r="D162" s="163"/>
    </row>
    <row r="163" spans="4:4">
      <c r="D163" s="163"/>
    </row>
    <row r="164" spans="4:4">
      <c r="D164" s="163"/>
    </row>
    <row r="165" spans="4:4">
      <c r="D165" s="163"/>
    </row>
    <row r="166" spans="4:4">
      <c r="D166" s="163"/>
    </row>
    <row r="167" spans="4:4">
      <c r="D167" s="163"/>
    </row>
    <row r="168" spans="4:4">
      <c r="D168" s="163"/>
    </row>
    <row r="169" spans="4:4">
      <c r="D169" s="163"/>
    </row>
    <row r="170" spans="4:4">
      <c r="D170" s="163"/>
    </row>
    <row r="171" spans="4:4">
      <c r="D171" s="163"/>
    </row>
    <row r="172" spans="4:4">
      <c r="D172" s="163"/>
    </row>
    <row r="173" spans="4:4">
      <c r="D173" s="163"/>
    </row>
    <row r="174" spans="4:4">
      <c r="D174" s="163"/>
    </row>
    <row r="175" spans="4:4">
      <c r="D175" s="163"/>
    </row>
    <row r="176" spans="4:4">
      <c r="D176" s="163"/>
    </row>
    <row r="177" spans="4:4">
      <c r="D177" s="163"/>
    </row>
    <row r="178" spans="4:4">
      <c r="D178" s="163"/>
    </row>
    <row r="179" spans="4:4">
      <c r="D179" s="163"/>
    </row>
    <row r="180" spans="4:4">
      <c r="D180" s="163"/>
    </row>
    <row r="181" spans="4:4">
      <c r="D181" s="163"/>
    </row>
    <row r="182" spans="4:4">
      <c r="D182" s="163"/>
    </row>
    <row r="183" spans="4:4">
      <c r="D183" s="163"/>
    </row>
    <row r="184" spans="4:4">
      <c r="D184" s="163"/>
    </row>
    <row r="185" spans="4:4">
      <c r="D185" s="163"/>
    </row>
    <row r="186" spans="4:4">
      <c r="D186" s="163"/>
    </row>
    <row r="187" spans="4:4">
      <c r="D187" s="163"/>
    </row>
    <row r="188" spans="4:4">
      <c r="D188" s="163"/>
    </row>
    <row r="189" spans="4:4">
      <c r="D189" s="163"/>
    </row>
    <row r="190" spans="4:4">
      <c r="D190" s="163"/>
    </row>
    <row r="191" spans="4:4">
      <c r="D191" s="163"/>
    </row>
    <row r="192" spans="4:4">
      <c r="D192" s="163"/>
    </row>
    <row r="193" spans="4:4">
      <c r="D193" s="163"/>
    </row>
    <row r="194" spans="4:4">
      <c r="D194" s="163"/>
    </row>
    <row r="195" spans="4:4">
      <c r="D195" s="163"/>
    </row>
    <row r="196" spans="4:4">
      <c r="D196" s="163"/>
    </row>
    <row r="197" spans="4:4">
      <c r="D197" s="163"/>
    </row>
    <row r="198" spans="4:4">
      <c r="D198" s="163"/>
    </row>
    <row r="199" spans="4:4">
      <c r="D199" s="163"/>
    </row>
    <row r="200" spans="4:4">
      <c r="D200" s="163"/>
    </row>
    <row r="201" spans="4:4">
      <c r="D201" s="163"/>
    </row>
    <row r="202" spans="4:4">
      <c r="D202" s="163"/>
    </row>
    <row r="203" spans="4:4">
      <c r="D203" s="163"/>
    </row>
    <row r="204" spans="4:4">
      <c r="D204" s="163"/>
    </row>
    <row r="205" spans="4:4">
      <c r="D205" s="163"/>
    </row>
    <row r="206" spans="4:4">
      <c r="D206" s="163"/>
    </row>
    <row r="207" spans="4:4">
      <c r="D207" s="163"/>
    </row>
    <row r="208" spans="4:4">
      <c r="D208" s="163"/>
    </row>
    <row r="209" spans="4:4">
      <c r="D209" s="163"/>
    </row>
    <row r="210" spans="4:4">
      <c r="D210" s="163"/>
    </row>
    <row r="211" spans="4:4">
      <c r="D211" s="163"/>
    </row>
    <row r="212" spans="4:4">
      <c r="D212" s="163"/>
    </row>
    <row r="213" spans="4:4">
      <c r="D213" s="163"/>
    </row>
    <row r="214" spans="4:4">
      <c r="D214" s="163"/>
    </row>
    <row r="215" spans="4:4">
      <c r="D215" s="163"/>
    </row>
    <row r="216" spans="4:4">
      <c r="D216" s="163"/>
    </row>
    <row r="217" spans="4:4">
      <c r="D217" s="163"/>
    </row>
    <row r="218" spans="4:4">
      <c r="D218" s="163"/>
    </row>
    <row r="219" spans="4:4">
      <c r="D219" s="163"/>
    </row>
    <row r="220" spans="4:4">
      <c r="D220" s="163"/>
    </row>
    <row r="221" spans="4:4">
      <c r="D221" s="163"/>
    </row>
    <row r="222" spans="4:4">
      <c r="D222" s="163"/>
    </row>
    <row r="223" spans="4:4">
      <c r="D223" s="163"/>
    </row>
    <row r="224" spans="4:4">
      <c r="D224" s="163"/>
    </row>
    <row r="225" spans="4:4">
      <c r="D225" s="163"/>
    </row>
    <row r="226" spans="4:4">
      <c r="D226" s="163"/>
    </row>
    <row r="227" spans="4:4">
      <c r="D227" s="163"/>
    </row>
    <row r="228" spans="4:4">
      <c r="D228" s="163"/>
    </row>
    <row r="229" spans="4:4">
      <c r="D229" s="163"/>
    </row>
    <row r="230" spans="4:4">
      <c r="D230" s="163"/>
    </row>
    <row r="231" spans="4:4">
      <c r="D231" s="163"/>
    </row>
    <row r="232" spans="4:4">
      <c r="D232" s="163"/>
    </row>
    <row r="233" spans="4:4">
      <c r="D233" s="163"/>
    </row>
    <row r="234" spans="4:4">
      <c r="D234" s="163"/>
    </row>
    <row r="235" spans="4:4">
      <c r="D235" s="163"/>
    </row>
    <row r="236" spans="4:4">
      <c r="D236" s="163"/>
    </row>
    <row r="237" spans="4:4">
      <c r="D237" s="163"/>
    </row>
    <row r="238" spans="4:4">
      <c r="D238" s="163"/>
    </row>
    <row r="239" spans="4:4">
      <c r="D239" s="163"/>
    </row>
    <row r="240" spans="4:4">
      <c r="D240" s="163"/>
    </row>
    <row r="241" spans="4:4">
      <c r="D241" s="163"/>
    </row>
    <row r="242" spans="4:4">
      <c r="D242" s="163"/>
    </row>
    <row r="243" spans="4:4">
      <c r="D243" s="163"/>
    </row>
    <row r="244" spans="4:4">
      <c r="D244" s="163"/>
    </row>
    <row r="245" spans="4:4">
      <c r="D245" s="163"/>
    </row>
    <row r="246" spans="4:4">
      <c r="D246" s="163"/>
    </row>
    <row r="247" spans="4:4">
      <c r="D247" s="163"/>
    </row>
    <row r="248" spans="4:4">
      <c r="D248" s="163"/>
    </row>
    <row r="249" spans="4:4">
      <c r="D249" s="163"/>
    </row>
    <row r="250" spans="4:4">
      <c r="D250" s="163"/>
    </row>
    <row r="251" spans="4:4">
      <c r="D251" s="163"/>
    </row>
    <row r="252" spans="4:4">
      <c r="D252" s="163"/>
    </row>
    <row r="253" spans="4:4">
      <c r="D253" s="163"/>
    </row>
    <row r="254" spans="4:4">
      <c r="D254" s="163"/>
    </row>
    <row r="255" spans="4:4">
      <c r="D255" s="163"/>
    </row>
    <row r="256" spans="4:4">
      <c r="D256" s="163"/>
    </row>
    <row r="257" spans="4:4">
      <c r="D257" s="163"/>
    </row>
    <row r="258" spans="4:4">
      <c r="D258" s="163"/>
    </row>
    <row r="259" spans="4:4">
      <c r="D259" s="163"/>
    </row>
    <row r="260" spans="4:4">
      <c r="D260" s="163"/>
    </row>
    <row r="261" spans="4:4">
      <c r="D261" s="163"/>
    </row>
    <row r="262" spans="4:4">
      <c r="D262" s="163"/>
    </row>
    <row r="263" spans="4:4">
      <c r="D263" s="163"/>
    </row>
    <row r="264" spans="4:4">
      <c r="D264" s="163"/>
    </row>
    <row r="265" spans="4:4">
      <c r="D265" s="163"/>
    </row>
    <row r="266" spans="4:4">
      <c r="D266" s="163"/>
    </row>
    <row r="267" spans="4:4">
      <c r="D267" s="163"/>
    </row>
    <row r="268" spans="4:4">
      <c r="D268" s="163"/>
    </row>
    <row r="269" spans="4:4">
      <c r="D269" s="163"/>
    </row>
    <row r="270" spans="4:4">
      <c r="D270" s="163"/>
    </row>
    <row r="271" spans="4:4">
      <c r="D271" s="163"/>
    </row>
    <row r="272" spans="4:4">
      <c r="D272" s="163"/>
    </row>
    <row r="273" spans="4:4">
      <c r="D273" s="163"/>
    </row>
    <row r="274" spans="4:4">
      <c r="D274" s="163"/>
    </row>
    <row r="275" spans="4:4">
      <c r="D275" s="163"/>
    </row>
    <row r="276" spans="4:4">
      <c r="D276" s="163"/>
    </row>
    <row r="277" spans="4:4">
      <c r="D277" s="163"/>
    </row>
    <row r="278" spans="4:4">
      <c r="D278" s="163"/>
    </row>
    <row r="279" spans="4:4">
      <c r="D279" s="163"/>
    </row>
    <row r="280" spans="4:4">
      <c r="D280" s="163"/>
    </row>
    <row r="281" spans="4:4">
      <c r="D281" s="163"/>
    </row>
    <row r="282" spans="4:4">
      <c r="D282" s="163"/>
    </row>
    <row r="283" spans="4:4">
      <c r="D283" s="163"/>
    </row>
    <row r="284" spans="4:4">
      <c r="D284" s="163"/>
    </row>
    <row r="285" spans="4:4">
      <c r="D285" s="163"/>
    </row>
    <row r="286" spans="4:4">
      <c r="D286" s="163"/>
    </row>
    <row r="287" spans="4:4">
      <c r="D287" s="163"/>
    </row>
    <row r="288" spans="4:4">
      <c r="D288" s="163"/>
    </row>
    <row r="289" spans="4:4">
      <c r="D289" s="163"/>
    </row>
    <row r="290" spans="4:4">
      <c r="D290" s="163"/>
    </row>
    <row r="291" spans="4:4">
      <c r="D291" s="163"/>
    </row>
    <row r="292" spans="4:4">
      <c r="D292" s="163"/>
    </row>
    <row r="293" spans="4:4">
      <c r="D293" s="163"/>
    </row>
    <row r="294" spans="4:4">
      <c r="D294" s="163"/>
    </row>
    <row r="295" spans="4:4">
      <c r="D295" s="163"/>
    </row>
    <row r="296" spans="4:4">
      <c r="D296" s="163"/>
    </row>
    <row r="297" spans="4:4">
      <c r="D297" s="163"/>
    </row>
    <row r="298" spans="4:4">
      <c r="D298" s="163"/>
    </row>
    <row r="299" spans="4:4">
      <c r="D299" s="163"/>
    </row>
    <row r="300" spans="4:4">
      <c r="D300" s="163"/>
    </row>
    <row r="301" spans="4:4">
      <c r="D301" s="163"/>
    </row>
    <row r="302" spans="4:4">
      <c r="D302" s="163"/>
    </row>
    <row r="303" spans="4:4">
      <c r="D303" s="163"/>
    </row>
    <row r="304" spans="4:4">
      <c r="D304" s="163"/>
    </row>
    <row r="305" spans="4:4">
      <c r="D305" s="163"/>
    </row>
    <row r="306" spans="4:4">
      <c r="D306" s="163"/>
    </row>
    <row r="307" spans="4:4">
      <c r="D307" s="163"/>
    </row>
    <row r="308" spans="4:4">
      <c r="D308" s="163"/>
    </row>
    <row r="309" spans="4:4">
      <c r="D309" s="163"/>
    </row>
    <row r="310" spans="4:4">
      <c r="D310" s="163"/>
    </row>
    <row r="311" spans="4:4">
      <c r="D311" s="163"/>
    </row>
    <row r="312" spans="4:4">
      <c r="D312" s="163"/>
    </row>
    <row r="313" spans="4:4">
      <c r="D313" s="163"/>
    </row>
    <row r="314" spans="4:4">
      <c r="D314" s="163"/>
    </row>
    <row r="315" spans="4:4">
      <c r="D315" s="163"/>
    </row>
    <row r="316" spans="4:4">
      <c r="D316" s="163"/>
    </row>
    <row r="317" spans="4:4">
      <c r="D317" s="163"/>
    </row>
    <row r="318" spans="4:4">
      <c r="D318" s="163"/>
    </row>
    <row r="319" spans="4:4">
      <c r="D319" s="163"/>
    </row>
    <row r="320" spans="4:4">
      <c r="D320" s="163"/>
    </row>
    <row r="321" spans="4:4">
      <c r="D321" s="163"/>
    </row>
    <row r="322" spans="4:4">
      <c r="D322" s="163"/>
    </row>
    <row r="323" spans="4:4">
      <c r="D323" s="163"/>
    </row>
    <row r="324" spans="4:4">
      <c r="D324" s="163"/>
    </row>
    <row r="325" spans="4:4">
      <c r="D325" s="163"/>
    </row>
    <row r="326" spans="4:4">
      <c r="D326" s="163"/>
    </row>
    <row r="327" spans="4:4">
      <c r="D327" s="163"/>
    </row>
    <row r="328" spans="4:4">
      <c r="D328" s="163"/>
    </row>
    <row r="329" spans="4:4">
      <c r="D329" s="163"/>
    </row>
    <row r="330" spans="4:4">
      <c r="D330" s="163"/>
    </row>
    <row r="331" spans="4:4">
      <c r="D331" s="163"/>
    </row>
    <row r="332" spans="4:4">
      <c r="D332" s="163"/>
    </row>
    <row r="333" spans="4:4">
      <c r="D333" s="163"/>
    </row>
    <row r="334" spans="4:4">
      <c r="D334" s="163"/>
    </row>
    <row r="335" spans="4:4">
      <c r="D335" s="163"/>
    </row>
    <row r="336" spans="4:4">
      <c r="D336" s="163"/>
    </row>
    <row r="337" spans="4:4">
      <c r="D337" s="163"/>
    </row>
    <row r="338" spans="4:4">
      <c r="D338" s="163"/>
    </row>
    <row r="339" spans="4:4">
      <c r="D339" s="163"/>
    </row>
    <row r="340" spans="4:4">
      <c r="D340" s="163"/>
    </row>
    <row r="341" spans="4:4">
      <c r="D341" s="163"/>
    </row>
    <row r="342" spans="4:4">
      <c r="D342" s="163"/>
    </row>
    <row r="343" spans="4:4">
      <c r="D343" s="163"/>
    </row>
    <row r="344" spans="4:4">
      <c r="D344" s="163"/>
    </row>
    <row r="345" spans="4:4">
      <c r="D345" s="163"/>
    </row>
    <row r="346" spans="4:4">
      <c r="D346" s="163"/>
    </row>
    <row r="347" spans="4:4">
      <c r="D347" s="163"/>
    </row>
    <row r="348" spans="4:4">
      <c r="D348" s="163"/>
    </row>
    <row r="349" spans="4:4">
      <c r="D349" s="163"/>
    </row>
    <row r="350" spans="4:4">
      <c r="D350" s="163"/>
    </row>
    <row r="351" spans="4:4">
      <c r="D351" s="163"/>
    </row>
    <row r="352" spans="4:4">
      <c r="D352" s="163"/>
    </row>
    <row r="353" spans="4:4">
      <c r="D353" s="163"/>
    </row>
    <row r="354" spans="4:4">
      <c r="D354" s="163"/>
    </row>
    <row r="355" spans="4:4">
      <c r="D355" s="163"/>
    </row>
    <row r="356" spans="4:4">
      <c r="D356" s="163"/>
    </row>
    <row r="357" spans="4:4">
      <c r="D357" s="163"/>
    </row>
    <row r="358" spans="4:4">
      <c r="D358" s="163"/>
    </row>
    <row r="359" spans="4:4">
      <c r="D359" s="163"/>
    </row>
    <row r="360" spans="4:4">
      <c r="D360" s="163"/>
    </row>
    <row r="361" spans="4:4">
      <c r="D361" s="163"/>
    </row>
    <row r="362" spans="4:4">
      <c r="D362" s="163"/>
    </row>
    <row r="363" spans="4:4">
      <c r="D363" s="163"/>
    </row>
    <row r="364" spans="4:4">
      <c r="D364" s="163"/>
    </row>
    <row r="365" spans="4:4">
      <c r="D365" s="163"/>
    </row>
    <row r="366" spans="4:4">
      <c r="D366" s="163"/>
    </row>
    <row r="367" spans="4:4">
      <c r="D367" s="163"/>
    </row>
    <row r="368" spans="4:4">
      <c r="D368" s="163"/>
    </row>
    <row r="369" spans="4:4">
      <c r="D369" s="163"/>
    </row>
    <row r="370" spans="4:4">
      <c r="D370" s="163"/>
    </row>
    <row r="371" spans="4:4">
      <c r="D371" s="163"/>
    </row>
    <row r="372" spans="4:4">
      <c r="D372" s="163"/>
    </row>
    <row r="373" spans="4:4">
      <c r="D373" s="163"/>
    </row>
    <row r="374" spans="4:4">
      <c r="D374" s="163"/>
    </row>
    <row r="375" spans="4:4">
      <c r="D375" s="163"/>
    </row>
    <row r="376" spans="4:4">
      <c r="D376" s="163"/>
    </row>
    <row r="377" spans="4:4">
      <c r="D377" s="163"/>
    </row>
    <row r="378" spans="4:4">
      <c r="D378" s="163"/>
    </row>
    <row r="379" spans="4:4">
      <c r="D379" s="163"/>
    </row>
    <row r="380" spans="4:4">
      <c r="D380" s="163"/>
    </row>
    <row r="381" spans="4:4">
      <c r="D381" s="163"/>
    </row>
    <row r="382" spans="4:4">
      <c r="D382" s="163"/>
    </row>
    <row r="383" spans="4:4">
      <c r="D383" s="163"/>
    </row>
    <row r="384" spans="4:4">
      <c r="D384" s="163"/>
    </row>
    <row r="385" spans="4:4">
      <c r="D385" s="163"/>
    </row>
    <row r="386" spans="4:4">
      <c r="D386" s="163"/>
    </row>
    <row r="387" spans="4:4">
      <c r="D387" s="163"/>
    </row>
    <row r="388" spans="4:4">
      <c r="D388" s="163"/>
    </row>
    <row r="389" spans="4:4">
      <c r="D389" s="163"/>
    </row>
    <row r="390" spans="4:4">
      <c r="D390" s="163"/>
    </row>
    <row r="391" spans="4:4">
      <c r="D391" s="163"/>
    </row>
    <row r="392" spans="4:4">
      <c r="D392" s="163"/>
    </row>
    <row r="393" spans="4:4">
      <c r="D393" s="163"/>
    </row>
    <row r="394" spans="4:4">
      <c r="D394" s="163"/>
    </row>
    <row r="395" spans="4:4">
      <c r="D395" s="163"/>
    </row>
    <row r="396" spans="4:4">
      <c r="D396" s="163"/>
    </row>
    <row r="397" spans="4:4">
      <c r="D397" s="163"/>
    </row>
    <row r="398" spans="4:4">
      <c r="D398" s="163"/>
    </row>
    <row r="399" spans="4:4">
      <c r="D399" s="163"/>
    </row>
    <row r="400" spans="4:4">
      <c r="D400" s="163"/>
    </row>
    <row r="401" spans="4:4">
      <c r="D401" s="163"/>
    </row>
    <row r="402" spans="4:4">
      <c r="D402" s="163"/>
    </row>
    <row r="403" spans="4:4">
      <c r="D403" s="163"/>
    </row>
    <row r="404" spans="4:4">
      <c r="D404" s="163"/>
    </row>
    <row r="405" spans="4:4">
      <c r="D405" s="163"/>
    </row>
    <row r="406" spans="4:4">
      <c r="D406" s="163"/>
    </row>
    <row r="407" spans="4:4">
      <c r="D407" s="163"/>
    </row>
    <row r="408" spans="4:4">
      <c r="D408" s="163"/>
    </row>
    <row r="409" spans="4:4">
      <c r="D409" s="163"/>
    </row>
    <row r="410" spans="4:4">
      <c r="D410" s="163"/>
    </row>
    <row r="411" spans="4:4">
      <c r="D411" s="163"/>
    </row>
    <row r="412" spans="4:4">
      <c r="D412" s="163"/>
    </row>
    <row r="413" spans="4:4">
      <c r="D413" s="163"/>
    </row>
    <row r="414" spans="4:4">
      <c r="D414" s="163"/>
    </row>
    <row r="415" spans="4:4">
      <c r="D415" s="163"/>
    </row>
    <row r="416" spans="4:4">
      <c r="D416" s="163"/>
    </row>
    <row r="417" spans="4:4">
      <c r="D417" s="163"/>
    </row>
    <row r="418" spans="4:4">
      <c r="D418" s="163"/>
    </row>
    <row r="419" spans="4:4">
      <c r="D419" s="163"/>
    </row>
    <row r="420" spans="4:4">
      <c r="D420" s="163"/>
    </row>
    <row r="421" spans="4:4">
      <c r="D421" s="163"/>
    </row>
    <row r="422" spans="4:4">
      <c r="D422" s="163"/>
    </row>
    <row r="423" spans="4:4">
      <c r="D423" s="163"/>
    </row>
    <row r="424" spans="4:4">
      <c r="D424" s="163"/>
    </row>
    <row r="425" spans="4:4">
      <c r="D425" s="163"/>
    </row>
    <row r="426" spans="4:4">
      <c r="D426" s="163"/>
    </row>
    <row r="427" spans="4:4">
      <c r="D427" s="163"/>
    </row>
    <row r="428" spans="4:4">
      <c r="D428" s="163"/>
    </row>
    <row r="429" spans="4:4">
      <c r="D429" s="163"/>
    </row>
    <row r="430" spans="4:4">
      <c r="D430" s="163"/>
    </row>
    <row r="431" spans="4:4">
      <c r="D431" s="163"/>
    </row>
    <row r="432" spans="4:4">
      <c r="D432" s="163"/>
    </row>
    <row r="433" spans="4:4">
      <c r="D433" s="163"/>
    </row>
    <row r="434" spans="4:4">
      <c r="D434" s="163"/>
    </row>
    <row r="435" spans="4:4">
      <c r="D435" s="163"/>
    </row>
    <row r="436" spans="4:4">
      <c r="D436" s="163"/>
    </row>
    <row r="437" spans="4:4">
      <c r="D437" s="163"/>
    </row>
    <row r="438" spans="4:4">
      <c r="D438" s="163"/>
    </row>
    <row r="439" spans="4:4">
      <c r="D439" s="163"/>
    </row>
    <row r="440" spans="4:4">
      <c r="D440" s="163"/>
    </row>
    <row r="441" spans="4:4">
      <c r="D441" s="163"/>
    </row>
    <row r="442" spans="4:4">
      <c r="D442" s="163"/>
    </row>
    <row r="443" spans="4:4">
      <c r="D443" s="163"/>
    </row>
    <row r="444" spans="4:4">
      <c r="D444" s="163"/>
    </row>
    <row r="445" spans="4:4">
      <c r="D445" s="163"/>
    </row>
    <row r="446" spans="4:4">
      <c r="D446" s="163"/>
    </row>
    <row r="447" spans="4:4">
      <c r="D447" s="163"/>
    </row>
    <row r="448" spans="4:4">
      <c r="D448" s="163"/>
    </row>
    <row r="449" spans="4:4">
      <c r="D449" s="163"/>
    </row>
    <row r="450" spans="4:4">
      <c r="D450" s="163"/>
    </row>
    <row r="451" spans="4:4">
      <c r="D451" s="163"/>
    </row>
    <row r="452" spans="4:4">
      <c r="D452" s="163"/>
    </row>
    <row r="453" spans="4:4">
      <c r="D453" s="163"/>
    </row>
    <row r="454" spans="4:4">
      <c r="D454" s="163"/>
    </row>
    <row r="455" spans="4:4">
      <c r="D455" s="163"/>
    </row>
    <row r="456" spans="4:4">
      <c r="D456" s="163"/>
    </row>
    <row r="457" spans="4:4">
      <c r="D457" s="163"/>
    </row>
    <row r="458" spans="4:4">
      <c r="D458" s="163"/>
    </row>
    <row r="459" spans="4:4">
      <c r="D459" s="163"/>
    </row>
    <row r="460" spans="4:4">
      <c r="D460" s="163"/>
    </row>
    <row r="461" spans="4:4">
      <c r="D461" s="163"/>
    </row>
    <row r="462" spans="4:4">
      <c r="D462" s="163"/>
    </row>
    <row r="463" spans="4:4">
      <c r="D463" s="163"/>
    </row>
    <row r="464" spans="4:4">
      <c r="D464" s="163"/>
    </row>
    <row r="465" spans="4:4">
      <c r="D465" s="163"/>
    </row>
    <row r="466" spans="4:4">
      <c r="D466" s="163"/>
    </row>
    <row r="467" spans="4:4">
      <c r="D467" s="163"/>
    </row>
    <row r="468" spans="4:4">
      <c r="D468" s="163"/>
    </row>
    <row r="469" spans="4:4">
      <c r="D469" s="163"/>
    </row>
    <row r="470" spans="4:4">
      <c r="D470" s="163"/>
    </row>
    <row r="471" spans="4:4">
      <c r="D471" s="163"/>
    </row>
    <row r="472" spans="4:4">
      <c r="D472" s="163"/>
    </row>
    <row r="473" spans="4:4">
      <c r="D473" s="163"/>
    </row>
    <row r="474" spans="4:4">
      <c r="D474" s="163"/>
    </row>
    <row r="475" spans="4:4">
      <c r="D475" s="163"/>
    </row>
    <row r="476" spans="4:4">
      <c r="D476" s="163"/>
    </row>
    <row r="477" spans="4:4">
      <c r="D477" s="163"/>
    </row>
    <row r="478" spans="4:4">
      <c r="D478" s="163"/>
    </row>
    <row r="479" spans="4:4">
      <c r="D479" s="163"/>
    </row>
    <row r="480" spans="4:4">
      <c r="D480" s="163"/>
    </row>
    <row r="481" spans="4:4">
      <c r="D481" s="163"/>
    </row>
    <row r="482" spans="4:4">
      <c r="D482" s="163"/>
    </row>
    <row r="483" spans="4:4">
      <c r="D483" s="163"/>
    </row>
    <row r="484" spans="4:4">
      <c r="D484" s="163"/>
    </row>
    <row r="485" spans="4:4">
      <c r="D485" s="163"/>
    </row>
    <row r="486" spans="4:4">
      <c r="D486" s="163"/>
    </row>
    <row r="487" spans="4:4">
      <c r="D487" s="163"/>
    </row>
    <row r="488" spans="4:4">
      <c r="D488" s="163"/>
    </row>
    <row r="489" spans="4:4">
      <c r="D489" s="163"/>
    </row>
    <row r="490" spans="4:4">
      <c r="D490" s="163"/>
    </row>
    <row r="491" spans="4:4">
      <c r="D491" s="163"/>
    </row>
    <row r="492" spans="4:4">
      <c r="D492" s="163"/>
    </row>
    <row r="493" spans="4:4">
      <c r="D493" s="163"/>
    </row>
    <row r="494" spans="4:4">
      <c r="D494" s="163"/>
    </row>
    <row r="495" spans="4:4">
      <c r="D495" s="163"/>
    </row>
    <row r="496" spans="4:4">
      <c r="D496" s="163"/>
    </row>
    <row r="497" spans="4:4">
      <c r="D497" s="163"/>
    </row>
    <row r="498" spans="4:4">
      <c r="D498" s="163"/>
    </row>
    <row r="499" spans="4:4">
      <c r="D499" s="163"/>
    </row>
    <row r="500" spans="4:4">
      <c r="D500" s="163"/>
    </row>
    <row r="501" spans="4:4">
      <c r="D501" s="163"/>
    </row>
    <row r="502" spans="4:4">
      <c r="D502" s="163"/>
    </row>
    <row r="503" spans="4:4">
      <c r="D503" s="163"/>
    </row>
    <row r="504" spans="4:4">
      <c r="D504" s="163"/>
    </row>
    <row r="505" spans="4:4">
      <c r="D505" s="163"/>
    </row>
    <row r="506" spans="4:4">
      <c r="D506" s="163"/>
    </row>
    <row r="507" spans="4:4">
      <c r="D507" s="163"/>
    </row>
    <row r="508" spans="4:4">
      <c r="D508" s="163"/>
    </row>
    <row r="509" spans="4:4">
      <c r="D509" s="163"/>
    </row>
    <row r="510" spans="4:4">
      <c r="D510" s="163"/>
    </row>
    <row r="511" spans="4:4">
      <c r="D511" s="163"/>
    </row>
    <row r="512" spans="4:4">
      <c r="D512" s="163"/>
    </row>
    <row r="513" spans="4:4">
      <c r="D513" s="163"/>
    </row>
    <row r="514" spans="4:4">
      <c r="D514" s="163"/>
    </row>
    <row r="515" spans="4:4">
      <c r="D515" s="163"/>
    </row>
    <row r="516" spans="4:4">
      <c r="D516" s="163"/>
    </row>
    <row r="517" spans="4:4">
      <c r="D517" s="163"/>
    </row>
    <row r="518" spans="4:4">
      <c r="D518" s="163"/>
    </row>
    <row r="519" spans="4:4">
      <c r="D519" s="163"/>
    </row>
    <row r="520" spans="4:4">
      <c r="D520" s="163"/>
    </row>
    <row r="521" spans="4:4">
      <c r="D521" s="163"/>
    </row>
    <row r="522" spans="4:4">
      <c r="D522" s="163"/>
    </row>
    <row r="523" spans="4:4">
      <c r="D523" s="163"/>
    </row>
    <row r="524" spans="4:4">
      <c r="D524" s="163"/>
    </row>
    <row r="525" spans="4:4">
      <c r="D525" s="163"/>
    </row>
    <row r="526" spans="4:4">
      <c r="D526" s="163"/>
    </row>
    <row r="527" spans="4:4">
      <c r="D527" s="163"/>
    </row>
    <row r="528" spans="4:4">
      <c r="D528" s="163"/>
    </row>
    <row r="529" spans="4:4">
      <c r="D529" s="163"/>
    </row>
    <row r="530" spans="4:4">
      <c r="D530" s="163"/>
    </row>
    <row r="531" spans="4:4">
      <c r="D531" s="163"/>
    </row>
    <row r="532" spans="4:4">
      <c r="D532" s="163"/>
    </row>
    <row r="533" spans="4:4">
      <c r="D533" s="163"/>
    </row>
    <row r="534" spans="4:4">
      <c r="D534" s="163"/>
    </row>
    <row r="535" spans="4:4">
      <c r="D535" s="163"/>
    </row>
    <row r="536" spans="4:4">
      <c r="D536" s="163"/>
    </row>
    <row r="537" spans="4:4">
      <c r="D537" s="163"/>
    </row>
    <row r="538" spans="4:4">
      <c r="D538" s="163"/>
    </row>
    <row r="539" spans="4:4">
      <c r="D539" s="163"/>
    </row>
    <row r="540" spans="4:4">
      <c r="D540" s="163"/>
    </row>
    <row r="541" spans="4:4">
      <c r="D541" s="163"/>
    </row>
    <row r="542" spans="4:4">
      <c r="D542" s="163"/>
    </row>
    <row r="543" spans="4:4">
      <c r="D543" s="163"/>
    </row>
    <row r="544" spans="4:4">
      <c r="D544" s="163"/>
    </row>
    <row r="545" spans="4:4">
      <c r="D545" s="163"/>
    </row>
    <row r="546" spans="4:4">
      <c r="D546" s="163"/>
    </row>
    <row r="547" spans="4:4">
      <c r="D547" s="163"/>
    </row>
    <row r="548" spans="4:4">
      <c r="D548" s="163"/>
    </row>
    <row r="549" spans="4:4">
      <c r="D549" s="163"/>
    </row>
    <row r="550" spans="4:4">
      <c r="D550" s="163"/>
    </row>
    <row r="551" spans="4:4">
      <c r="D551" s="163"/>
    </row>
    <row r="552" spans="4:4">
      <c r="D552" s="163"/>
    </row>
    <row r="553" spans="4:4">
      <c r="D553" s="163"/>
    </row>
    <row r="554" spans="4:4">
      <c r="D554" s="163"/>
    </row>
    <row r="555" spans="4:4">
      <c r="D555" s="163"/>
    </row>
    <row r="556" spans="4:4">
      <c r="D556" s="163"/>
    </row>
    <row r="557" spans="4:4">
      <c r="D557" s="163"/>
    </row>
    <row r="558" spans="4:4">
      <c r="D558" s="163"/>
    </row>
    <row r="559" spans="4:4">
      <c r="D559" s="163"/>
    </row>
    <row r="560" spans="4:4">
      <c r="D560" s="163"/>
    </row>
    <row r="561" spans="4:4">
      <c r="D561" s="163"/>
    </row>
    <row r="562" spans="4:4">
      <c r="D562" s="163"/>
    </row>
    <row r="563" spans="4:4">
      <c r="D563" s="163"/>
    </row>
    <row r="564" spans="4:4">
      <c r="D564" s="163"/>
    </row>
    <row r="565" spans="4:4">
      <c r="D565" s="163"/>
    </row>
    <row r="566" spans="4:4">
      <c r="D566" s="163"/>
    </row>
    <row r="567" spans="4:4">
      <c r="D567" s="163"/>
    </row>
    <row r="568" spans="4:4">
      <c r="D568" s="163"/>
    </row>
    <row r="569" spans="4:4">
      <c r="D569" s="163"/>
    </row>
    <row r="570" spans="4:4">
      <c r="D570" s="163"/>
    </row>
    <row r="571" spans="4:4">
      <c r="D571" s="163"/>
    </row>
    <row r="572" spans="4:4">
      <c r="D572" s="163"/>
    </row>
    <row r="573" spans="4:4">
      <c r="D573" s="163"/>
    </row>
    <row r="574" spans="4:4">
      <c r="D574" s="163"/>
    </row>
    <row r="575" spans="4:4">
      <c r="D575" s="163"/>
    </row>
    <row r="576" spans="4:4">
      <c r="D576" s="163"/>
    </row>
    <row r="577" spans="4:4">
      <c r="D577" s="163"/>
    </row>
    <row r="578" spans="4:4">
      <c r="D578" s="163"/>
    </row>
    <row r="579" spans="4:4">
      <c r="D579" s="163"/>
    </row>
    <row r="580" spans="4:4">
      <c r="D580" s="163"/>
    </row>
    <row r="581" spans="4:4">
      <c r="D581" s="163"/>
    </row>
    <row r="582" spans="4:4">
      <c r="D582" s="163"/>
    </row>
    <row r="583" spans="4:4">
      <c r="D583" s="163"/>
    </row>
    <row r="584" spans="4:4">
      <c r="D584" s="163"/>
    </row>
    <row r="585" spans="4:4">
      <c r="D585" s="163"/>
    </row>
    <row r="586" spans="4:4">
      <c r="D586" s="163"/>
    </row>
    <row r="587" spans="4:4">
      <c r="D587" s="163"/>
    </row>
    <row r="588" spans="4:4">
      <c r="D588" s="163"/>
    </row>
    <row r="589" spans="4:4">
      <c r="D589" s="163"/>
    </row>
    <row r="590" spans="4:4">
      <c r="D590" s="163"/>
    </row>
    <row r="591" spans="4:4">
      <c r="D591" s="163"/>
    </row>
    <row r="592" spans="4:4">
      <c r="D592" s="163"/>
    </row>
    <row r="593" spans="4:4">
      <c r="D593" s="163"/>
    </row>
    <row r="594" spans="4:4">
      <c r="D594" s="163"/>
    </row>
    <row r="595" spans="4:4">
      <c r="D595" s="163"/>
    </row>
    <row r="596" spans="4:4">
      <c r="D596" s="163"/>
    </row>
    <row r="597" spans="4:4">
      <c r="D597" s="163"/>
    </row>
    <row r="598" spans="4:4">
      <c r="D598" s="163"/>
    </row>
    <row r="599" spans="4:4">
      <c r="D599" s="163"/>
    </row>
    <row r="600" spans="4:4">
      <c r="D600" s="163"/>
    </row>
    <row r="601" spans="4:4">
      <c r="D601" s="163"/>
    </row>
    <row r="602" spans="4:4">
      <c r="D602" s="163"/>
    </row>
    <row r="603" spans="4:4">
      <c r="D603" s="163"/>
    </row>
    <row r="604" spans="4:4">
      <c r="D604" s="163"/>
    </row>
    <row r="605" spans="4:4">
      <c r="D605" s="163"/>
    </row>
    <row r="606" spans="4:4">
      <c r="D606" s="163"/>
    </row>
    <row r="607" spans="4:4">
      <c r="D607" s="163"/>
    </row>
    <row r="608" spans="4:4">
      <c r="D608" s="163"/>
    </row>
    <row r="609" spans="4:4">
      <c r="D609" s="163"/>
    </row>
    <row r="610" spans="4:4">
      <c r="D610" s="163"/>
    </row>
    <row r="611" spans="4:4">
      <c r="D611" s="163"/>
    </row>
    <row r="612" spans="4:4">
      <c r="D612" s="163"/>
    </row>
    <row r="613" spans="4:4">
      <c r="D613" s="163"/>
    </row>
    <row r="614" spans="4:4">
      <c r="D614" s="163"/>
    </row>
    <row r="615" spans="4:4">
      <c r="D615" s="163"/>
    </row>
    <row r="616" spans="4:4">
      <c r="D616" s="163"/>
    </row>
    <row r="617" spans="4:4">
      <c r="D617" s="163"/>
    </row>
    <row r="618" spans="4:4">
      <c r="D618" s="163"/>
    </row>
    <row r="619" spans="4:4">
      <c r="D619" s="163"/>
    </row>
    <row r="620" spans="4:4">
      <c r="D620" s="163"/>
    </row>
    <row r="621" spans="4:4">
      <c r="D621" s="163"/>
    </row>
    <row r="622" spans="4:4">
      <c r="D622" s="163"/>
    </row>
    <row r="623" spans="4:4">
      <c r="D623" s="163"/>
    </row>
    <row r="624" spans="4:4">
      <c r="D624" s="163"/>
    </row>
    <row r="625" spans="4:4">
      <c r="D625" s="163"/>
    </row>
    <row r="626" spans="4:4">
      <c r="D626" s="163"/>
    </row>
    <row r="627" spans="4:4">
      <c r="D627" s="163"/>
    </row>
    <row r="628" spans="4:4">
      <c r="D628" s="163"/>
    </row>
    <row r="629" spans="4:4">
      <c r="D629" s="163"/>
    </row>
    <row r="630" spans="4:4">
      <c r="D630" s="163"/>
    </row>
    <row r="631" spans="4:4">
      <c r="D631" s="163"/>
    </row>
    <row r="632" spans="4:4">
      <c r="D632" s="163"/>
    </row>
    <row r="633" spans="4:4">
      <c r="D633" s="163"/>
    </row>
    <row r="634" spans="4:4">
      <c r="D634" s="163"/>
    </row>
    <row r="635" spans="4:4">
      <c r="D635" s="163"/>
    </row>
    <row r="636" spans="4:4">
      <c r="D636" s="163"/>
    </row>
    <row r="637" spans="4:4">
      <c r="D637" s="163"/>
    </row>
    <row r="638" spans="4:4">
      <c r="D638" s="163"/>
    </row>
    <row r="639" spans="4:4">
      <c r="D639" s="163"/>
    </row>
    <row r="640" spans="4:4">
      <c r="D640" s="163"/>
    </row>
    <row r="641" spans="4:4">
      <c r="D641" s="163"/>
    </row>
    <row r="642" spans="4:4">
      <c r="D642" s="163"/>
    </row>
    <row r="643" spans="4:4">
      <c r="D643" s="163"/>
    </row>
    <row r="644" spans="4:4">
      <c r="D644" s="163"/>
    </row>
    <row r="645" spans="4:4">
      <c r="D645" s="163"/>
    </row>
    <row r="646" spans="4:4">
      <c r="D646" s="163"/>
    </row>
    <row r="647" spans="4:4">
      <c r="D647" s="163"/>
    </row>
    <row r="648" spans="4:4">
      <c r="D648" s="163"/>
    </row>
    <row r="649" spans="4:4">
      <c r="D649" s="163"/>
    </row>
    <row r="650" spans="4:4">
      <c r="D650" s="163"/>
    </row>
    <row r="651" spans="4:4">
      <c r="D651" s="163"/>
    </row>
    <row r="652" spans="4:4">
      <c r="D652" s="163"/>
    </row>
    <row r="653" spans="4:4">
      <c r="D653" s="163"/>
    </row>
    <row r="654" spans="4:4">
      <c r="D654" s="163"/>
    </row>
    <row r="655" spans="4:4">
      <c r="D655" s="163"/>
    </row>
    <row r="656" spans="4:4">
      <c r="D656" s="163"/>
    </row>
    <row r="657" spans="4:4">
      <c r="D657" s="163"/>
    </row>
    <row r="658" spans="4:4">
      <c r="D658" s="163"/>
    </row>
    <row r="659" spans="4:4">
      <c r="D659" s="163"/>
    </row>
    <row r="660" spans="4:4">
      <c r="D660" s="163"/>
    </row>
    <row r="661" spans="4:4">
      <c r="D661" s="163"/>
    </row>
    <row r="662" spans="4:4">
      <c r="D662" s="163"/>
    </row>
    <row r="663" spans="4:4">
      <c r="D663" s="163"/>
    </row>
    <row r="664" spans="4:4">
      <c r="D664" s="163"/>
    </row>
    <row r="665" spans="4:4">
      <c r="D665" s="163"/>
    </row>
    <row r="666" spans="4:4">
      <c r="D666" s="163"/>
    </row>
  </sheetData>
  <sheetProtection formatColumns="0"/>
  <protectedRanges>
    <protectedRange sqref="E17:E27 E12:E15 F15 I15:K15 F26:I26" name="Tabela 3A_1"/>
    <protectedRange sqref="E37:E42 E62 E74" name="Tabela 3A_1_2"/>
  </protectedRanges>
  <mergeCells count="15">
    <mergeCell ref="C74:D74"/>
    <mergeCell ref="B8:B9"/>
    <mergeCell ref="C8:D9"/>
    <mergeCell ref="B34:B35"/>
    <mergeCell ref="C34:D35"/>
    <mergeCell ref="C5:I5"/>
    <mergeCell ref="C6:I6"/>
    <mergeCell ref="I34:I35"/>
    <mergeCell ref="C10:D10"/>
    <mergeCell ref="B72:B73"/>
    <mergeCell ref="C72:D73"/>
    <mergeCell ref="C36:D36"/>
    <mergeCell ref="B60:B61"/>
    <mergeCell ref="C60:D61"/>
    <mergeCell ref="C62:D62"/>
  </mergeCells>
  <phoneticPr fontId="0" type="noConversion"/>
  <hyperlinks>
    <hyperlink ref="C1" location="Spis!B3" display="&gt;&gt; powrót do spisu treści" xr:uid="{00000000-0004-0000-0200-000000000000}"/>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8">
    <pageSetUpPr fitToPage="1"/>
  </sheetPr>
  <dimension ref="A1:N78"/>
  <sheetViews>
    <sheetView zoomScale="90" zoomScaleNormal="90" zoomScaleSheetLayoutView="75" workbookViewId="0">
      <pane ySplit="5" topLeftCell="A6" activePane="bottomLeft" state="frozen"/>
      <selection pane="bottomLeft"/>
    </sheetView>
  </sheetViews>
  <sheetFormatPr defaultColWidth="15.81640625" defaultRowHeight="15"/>
  <cols>
    <col min="1" max="1" width="3.81640625" style="40" customWidth="1"/>
    <col min="2" max="2" width="4.81640625" style="40" customWidth="1"/>
    <col min="3" max="3" width="52.81640625" style="40" customWidth="1"/>
    <col min="4" max="13" width="12.81640625" style="40" customWidth="1"/>
    <col min="14" max="16384" width="15.81640625" style="40"/>
  </cols>
  <sheetData>
    <row r="1" spans="1:14">
      <c r="A1" s="956"/>
      <c r="B1" s="957"/>
      <c r="C1" s="958" t="s">
        <v>10</v>
      </c>
      <c r="D1" s="959"/>
      <c r="E1" s="959"/>
      <c r="F1" s="959"/>
      <c r="G1" s="959"/>
      <c r="H1" s="959"/>
      <c r="I1" s="959"/>
      <c r="J1" s="959"/>
      <c r="K1" s="959"/>
      <c r="L1" s="959"/>
      <c r="M1" s="959"/>
      <c r="N1" s="959"/>
    </row>
    <row r="2" spans="1:14" ht="9.9" customHeight="1">
      <c r="A2" s="956"/>
      <c r="B2" s="959"/>
      <c r="C2" s="959"/>
      <c r="D2" s="959"/>
      <c r="E2" s="960"/>
      <c r="F2" s="960"/>
      <c r="G2" s="960"/>
      <c r="H2" s="960"/>
      <c r="I2" s="960"/>
      <c r="J2" s="960"/>
      <c r="K2" s="960"/>
      <c r="L2" s="960"/>
      <c r="M2" s="961"/>
      <c r="N2" s="959"/>
    </row>
    <row r="3" spans="1:14" ht="15" customHeight="1">
      <c r="A3" s="956"/>
      <c r="B3" s="962" t="s">
        <v>14</v>
      </c>
      <c r="C3" s="1129" t="str">
        <f>"W tabeli należy ująć wykorzystywane przez OSD składniki majątku sieciowego bez tzw. stanów magazynowych na koniec "&amp;Rok_ZPR&amp;" r."</f>
        <v>W tabeli należy ująć wykorzystywane przez OSD składniki majątku sieciowego bez tzw. stanów magazynowych na koniec 2020 r.</v>
      </c>
      <c r="D3" s="1130"/>
      <c r="E3" s="1130"/>
      <c r="F3" s="1130"/>
      <c r="G3" s="1130"/>
      <c r="H3" s="1130"/>
      <c r="I3" s="1130"/>
      <c r="J3" s="1130"/>
      <c r="K3" s="960"/>
      <c r="L3" s="960"/>
      <c r="M3" s="961"/>
      <c r="N3" s="959"/>
    </row>
    <row r="4" spans="1:14" ht="15" customHeight="1">
      <c r="A4" s="956"/>
      <c r="B4" s="962" t="s">
        <v>29</v>
      </c>
      <c r="C4" s="963" t="s">
        <v>58</v>
      </c>
      <c r="D4" s="963"/>
      <c r="E4" s="963"/>
      <c r="F4" s="963"/>
      <c r="G4" s="963"/>
      <c r="H4" s="964"/>
      <c r="I4" s="964"/>
      <c r="J4" s="964"/>
      <c r="K4" s="960"/>
      <c r="L4" s="960"/>
      <c r="M4" s="961"/>
      <c r="N4" s="959"/>
    </row>
    <row r="5" spans="1:14" ht="9.9" customHeight="1">
      <c r="A5" s="956"/>
      <c r="B5" s="965"/>
      <c r="C5" s="966"/>
      <c r="D5" s="966"/>
      <c r="E5" s="966"/>
      <c r="F5" s="966"/>
      <c r="G5" s="966"/>
      <c r="H5" s="960"/>
      <c r="I5" s="960"/>
      <c r="J5" s="960"/>
      <c r="K5" s="960"/>
      <c r="L5" s="960"/>
      <c r="M5" s="961"/>
      <c r="N5" s="959"/>
    </row>
    <row r="6" spans="1:14" ht="30" customHeight="1" thickBot="1">
      <c r="A6" s="956"/>
      <c r="B6" s="967" t="s">
        <v>192</v>
      </c>
      <c r="C6" s="968"/>
      <c r="D6" s="968"/>
      <c r="E6" s="969"/>
      <c r="F6" s="969"/>
      <c r="G6" s="960"/>
      <c r="H6" s="960"/>
      <c r="I6" s="960"/>
      <c r="J6" s="960"/>
      <c r="K6" s="960"/>
      <c r="L6" s="960"/>
      <c r="M6" s="960"/>
      <c r="N6" s="959"/>
    </row>
    <row r="7" spans="1:14" ht="20.100000000000001" customHeight="1" thickBot="1">
      <c r="A7" s="39"/>
      <c r="B7" s="1138" t="str">
        <f>'Tab.G1.1-4'!$B$8</f>
        <v>LP</v>
      </c>
      <c r="C7" s="1141" t="str">
        <f>"Składnik majątku sieciowego"</f>
        <v>Składnik majątku sieciowego</v>
      </c>
      <c r="D7" s="1142"/>
      <c r="E7" s="1133" t="str">
        <f>"Wiek składnika majątku sieciowegona koniec roku sprawozdawczego"</f>
        <v>Wiek składnika majątku sieciowegona koniec roku sprawozdawczego</v>
      </c>
      <c r="F7" s="1134"/>
      <c r="G7" s="1134"/>
      <c r="H7" s="1134"/>
      <c r="I7" s="1134"/>
      <c r="J7" s="1134"/>
      <c r="K7" s="1134"/>
      <c r="L7" s="1134"/>
      <c r="M7" s="1135" t="str">
        <f>"RAZEM"</f>
        <v>RAZEM</v>
      </c>
      <c r="N7" s="39"/>
    </row>
    <row r="8" spans="1:14" ht="20.100000000000001" customHeight="1" thickBot="1">
      <c r="A8" s="39"/>
      <c r="B8" s="1139"/>
      <c r="C8" s="1143"/>
      <c r="D8" s="1144"/>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36"/>
      <c r="N8" s="39"/>
    </row>
    <row r="9" spans="1:14" ht="20.100000000000001" customHeight="1" thickBot="1">
      <c r="A9" s="39"/>
      <c r="B9" s="1140"/>
      <c r="C9" s="1145"/>
      <c r="D9" s="1146"/>
      <c r="E9" s="44" t="str">
        <f>"36 i więcej"</f>
        <v>36 i więcej</v>
      </c>
      <c r="F9" s="45" t="str">
        <f>"31 - 35"</f>
        <v>31 - 35</v>
      </c>
      <c r="G9" s="45" t="str">
        <f>"26 - 30"</f>
        <v>26 - 30</v>
      </c>
      <c r="H9" s="45" t="str">
        <f>"21 - 25"</f>
        <v>21 - 25</v>
      </c>
      <c r="I9" s="45" t="str">
        <f>"16 - 20"</f>
        <v>16 - 20</v>
      </c>
      <c r="J9" s="462" t="str">
        <f>"11 - 15"</f>
        <v>11 - 15</v>
      </c>
      <c r="K9" s="462" t="str">
        <f>"6 - 10"</f>
        <v>6 - 10</v>
      </c>
      <c r="L9" s="463" t="str">
        <f>"0 - 5"</f>
        <v>0 - 5</v>
      </c>
      <c r="M9" s="1137"/>
      <c r="N9" s="39"/>
    </row>
    <row r="10" spans="1:14" ht="15.6" thickBot="1">
      <c r="A10" s="39"/>
      <c r="B10" s="590" t="str">
        <f>"01"</f>
        <v>01</v>
      </c>
      <c r="C10" s="1131" t="str">
        <f>$B$11</f>
        <v>02</v>
      </c>
      <c r="D10" s="1132"/>
      <c r="E10" s="590" t="str">
        <f t="array" ref="E10:M10">TRANSPOSE($B$12:$B$20)</f>
        <v>03</v>
      </c>
      <c r="F10" s="609" t="str">
        <v>04</v>
      </c>
      <c r="G10" s="609" t="str">
        <v>05</v>
      </c>
      <c r="H10" s="609" t="str">
        <v>06</v>
      </c>
      <c r="I10" s="609" t="str">
        <v>07</v>
      </c>
      <c r="J10" s="609" t="str">
        <v>08</v>
      </c>
      <c r="K10" s="609" t="str">
        <v>09</v>
      </c>
      <c r="L10" s="610" t="str">
        <v>10</v>
      </c>
      <c r="M10" s="611" t="str">
        <v>11</v>
      </c>
      <c r="N10" s="39"/>
    </row>
    <row r="11" spans="1:14" ht="18" customHeight="1" thickBot="1">
      <c r="A11" s="39"/>
      <c r="B11" s="591" t="str">
        <f>"02"</f>
        <v>02</v>
      </c>
      <c r="C11" s="550" t="s">
        <v>193</v>
      </c>
      <c r="D11" s="551" t="str">
        <f>'Tab.G2.1-3'!$D$72</f>
        <v>[km]</v>
      </c>
      <c r="E11" s="552">
        <f>SUM(E12,E23,E39:E40)</f>
        <v>0</v>
      </c>
      <c r="F11" s="553">
        <f>SUM(F12,F23,F39:F40)</f>
        <v>0</v>
      </c>
      <c r="G11" s="553">
        <f t="shared" ref="G11:M11" si="1">SUM(G12,G23,G39:G40)</f>
        <v>0</v>
      </c>
      <c r="H11" s="553">
        <f t="shared" si="1"/>
        <v>0</v>
      </c>
      <c r="I11" s="553">
        <f t="shared" si="1"/>
        <v>0</v>
      </c>
      <c r="J11" s="553">
        <f t="shared" si="1"/>
        <v>0</v>
      </c>
      <c r="K11" s="553">
        <f t="shared" si="1"/>
        <v>0</v>
      </c>
      <c r="L11" s="554">
        <f t="shared" si="1"/>
        <v>0</v>
      </c>
      <c r="M11" s="420">
        <f t="shared" si="1"/>
        <v>0</v>
      </c>
      <c r="N11" s="39"/>
    </row>
    <row r="12" spans="1:14" ht="20.25" customHeight="1" thickBot="1">
      <c r="A12" s="39"/>
      <c r="B12" s="368" t="str">
        <f>"03"</f>
        <v>03</v>
      </c>
      <c r="C12" s="341" t="s">
        <v>124</v>
      </c>
      <c r="D12" s="348" t="str">
        <f>'Tab.G2.1-3'!$D$72</f>
        <v>[km]</v>
      </c>
      <c r="E12" s="421">
        <f>SUM(E13,E18)</f>
        <v>0</v>
      </c>
      <c r="F12" s="422">
        <f>SUM(F13,F18)</f>
        <v>0</v>
      </c>
      <c r="G12" s="422">
        <f t="shared" ref="G12:M12" si="2">SUM(G13,G18)</f>
        <v>0</v>
      </c>
      <c r="H12" s="422">
        <f t="shared" si="2"/>
        <v>0</v>
      </c>
      <c r="I12" s="422">
        <f t="shared" si="2"/>
        <v>0</v>
      </c>
      <c r="J12" s="422">
        <f t="shared" si="2"/>
        <v>0</v>
      </c>
      <c r="K12" s="422">
        <f t="shared" si="2"/>
        <v>0</v>
      </c>
      <c r="L12" s="423">
        <f t="shared" si="2"/>
        <v>0</v>
      </c>
      <c r="M12" s="424">
        <f t="shared" si="2"/>
        <v>0</v>
      </c>
      <c r="N12" s="39"/>
    </row>
    <row r="13" spans="1:14" ht="16.5" customHeight="1">
      <c r="A13" s="39"/>
      <c r="B13" s="592" t="str">
        <f>"04"</f>
        <v>04</v>
      </c>
      <c r="C13" s="347" t="s">
        <v>75</v>
      </c>
      <c r="D13" s="349" t="str">
        <f>'Tab.G2.1-3'!$D$72</f>
        <v>[km]</v>
      </c>
      <c r="E13" s="425">
        <f>SUM(E14:E17)</f>
        <v>0</v>
      </c>
      <c r="F13" s="426">
        <f>SUM(F14:F17)</f>
        <v>0</v>
      </c>
      <c r="G13" s="426">
        <f t="shared" ref="G13:M13" si="3">SUM(G14:G17)</f>
        <v>0</v>
      </c>
      <c r="H13" s="426">
        <f t="shared" si="3"/>
        <v>0</v>
      </c>
      <c r="I13" s="426">
        <f t="shared" si="3"/>
        <v>0</v>
      </c>
      <c r="J13" s="426">
        <f t="shared" si="3"/>
        <v>0</v>
      </c>
      <c r="K13" s="426">
        <f t="shared" si="3"/>
        <v>0</v>
      </c>
      <c r="L13" s="427">
        <f t="shared" si="3"/>
        <v>0</v>
      </c>
      <c r="M13" s="420">
        <f t="shared" si="3"/>
        <v>0</v>
      </c>
      <c r="N13" s="39"/>
    </row>
    <row r="14" spans="1:14">
      <c r="A14" s="39"/>
      <c r="B14" s="593" t="str">
        <f>"05"</f>
        <v>05</v>
      </c>
      <c r="C14" s="263" t="s">
        <v>76</v>
      </c>
      <c r="D14" s="350" t="str">
        <f>'Tab.G2.1-3'!$D$72</f>
        <v>[km]</v>
      </c>
      <c r="E14" s="428"/>
      <c r="F14" s="429"/>
      <c r="G14" s="429"/>
      <c r="H14" s="429"/>
      <c r="I14" s="429"/>
      <c r="J14" s="429"/>
      <c r="K14" s="429"/>
      <c r="L14" s="430"/>
      <c r="M14" s="431">
        <f>SUM(E14:L14)</f>
        <v>0</v>
      </c>
      <c r="N14" s="39"/>
    </row>
    <row r="15" spans="1:14">
      <c r="A15" s="39"/>
      <c r="B15" s="594" t="str">
        <f>"06"</f>
        <v>06</v>
      </c>
      <c r="C15" s="264" t="s">
        <v>77</v>
      </c>
      <c r="D15" s="351" t="str">
        <f>'Tab.G2.1-3'!$D$72</f>
        <v>[km]</v>
      </c>
      <c r="E15" s="432"/>
      <c r="F15" s="433"/>
      <c r="G15" s="433"/>
      <c r="H15" s="433"/>
      <c r="I15" s="433"/>
      <c r="J15" s="433"/>
      <c r="K15" s="433"/>
      <c r="L15" s="434"/>
      <c r="M15" s="435">
        <f>SUM(E15:L15)</f>
        <v>0</v>
      </c>
      <c r="N15" s="39"/>
    </row>
    <row r="16" spans="1:14">
      <c r="A16" s="39"/>
      <c r="B16" s="594" t="str">
        <f>"07"</f>
        <v>07</v>
      </c>
      <c r="C16" s="264" t="s">
        <v>78</v>
      </c>
      <c r="D16" s="351" t="str">
        <f>'Tab.G2.1-3'!$D$72</f>
        <v>[km]</v>
      </c>
      <c r="E16" s="432"/>
      <c r="F16" s="433"/>
      <c r="G16" s="433"/>
      <c r="H16" s="433"/>
      <c r="I16" s="433"/>
      <c r="J16" s="433"/>
      <c r="K16" s="433"/>
      <c r="L16" s="434"/>
      <c r="M16" s="435">
        <f>SUM(E16:L16)</f>
        <v>0</v>
      </c>
      <c r="N16" s="39"/>
    </row>
    <row r="17" spans="1:14">
      <c r="A17" s="39"/>
      <c r="B17" s="595" t="str">
        <f>"08"</f>
        <v>08</v>
      </c>
      <c r="C17" s="267" t="s">
        <v>79</v>
      </c>
      <c r="D17" s="352" t="str">
        <f>'Tab.G2.1-3'!$D$72</f>
        <v>[km]</v>
      </c>
      <c r="E17" s="436"/>
      <c r="F17" s="437"/>
      <c r="G17" s="437"/>
      <c r="H17" s="437"/>
      <c r="I17" s="437"/>
      <c r="J17" s="437"/>
      <c r="K17" s="437"/>
      <c r="L17" s="438"/>
      <c r="M17" s="439">
        <f>SUM(E17:L17)</f>
        <v>0</v>
      </c>
      <c r="N17" s="39"/>
    </row>
    <row r="18" spans="1:14">
      <c r="A18" s="39"/>
      <c r="B18" s="592" t="str">
        <f>"09"</f>
        <v>09</v>
      </c>
      <c r="C18" s="347" t="s">
        <v>80</v>
      </c>
      <c r="D18" s="349" t="str">
        <f>'Tab.G2.1-3'!$D$72</f>
        <v>[km]</v>
      </c>
      <c r="E18" s="425">
        <f t="shared" ref="E18:M18" si="4">SUM(E19:E22)</f>
        <v>0</v>
      </c>
      <c r="F18" s="426">
        <f t="shared" si="4"/>
        <v>0</v>
      </c>
      <c r="G18" s="426">
        <f t="shared" si="4"/>
        <v>0</v>
      </c>
      <c r="H18" s="426">
        <f t="shared" si="4"/>
        <v>0</v>
      </c>
      <c r="I18" s="426">
        <f t="shared" si="4"/>
        <v>0</v>
      </c>
      <c r="J18" s="426">
        <f t="shared" si="4"/>
        <v>0</v>
      </c>
      <c r="K18" s="426">
        <f t="shared" si="4"/>
        <v>0</v>
      </c>
      <c r="L18" s="427">
        <f t="shared" si="4"/>
        <v>0</v>
      </c>
      <c r="M18" s="440">
        <f t="shared" si="4"/>
        <v>0</v>
      </c>
      <c r="N18" s="39"/>
    </row>
    <row r="19" spans="1:14">
      <c r="A19" s="39"/>
      <c r="B19" s="593" t="str">
        <f>"10"</f>
        <v>10</v>
      </c>
      <c r="C19" s="263" t="s">
        <v>76</v>
      </c>
      <c r="D19" s="350" t="str">
        <f>'Tab.G2.1-3'!$D$72</f>
        <v>[km]</v>
      </c>
      <c r="E19" s="428"/>
      <c r="F19" s="429"/>
      <c r="G19" s="429"/>
      <c r="H19" s="429"/>
      <c r="I19" s="429"/>
      <c r="J19" s="429"/>
      <c r="K19" s="429"/>
      <c r="L19" s="430"/>
      <c r="M19" s="431">
        <f>SUM(E19:L19)</f>
        <v>0</v>
      </c>
      <c r="N19" s="39"/>
    </row>
    <row r="20" spans="1:14">
      <c r="A20" s="39"/>
      <c r="B20" s="594" t="str">
        <f>"11"</f>
        <v>11</v>
      </c>
      <c r="C20" s="264" t="s">
        <v>77</v>
      </c>
      <c r="D20" s="351" t="str">
        <f>'Tab.G2.1-3'!$D$72</f>
        <v>[km]</v>
      </c>
      <c r="E20" s="432"/>
      <c r="F20" s="433"/>
      <c r="G20" s="433"/>
      <c r="H20" s="433"/>
      <c r="I20" s="433"/>
      <c r="J20" s="433"/>
      <c r="K20" s="433"/>
      <c r="L20" s="434"/>
      <c r="M20" s="435">
        <f>SUM(E20:L20)</f>
        <v>0</v>
      </c>
      <c r="N20" s="39"/>
    </row>
    <row r="21" spans="1:14">
      <c r="A21" s="39"/>
      <c r="B21" s="594" t="str">
        <f>"12"</f>
        <v>12</v>
      </c>
      <c r="C21" s="264" t="s">
        <v>78</v>
      </c>
      <c r="D21" s="351" t="str">
        <f>'Tab.G2.1-3'!$D$72</f>
        <v>[km]</v>
      </c>
      <c r="E21" s="432"/>
      <c r="F21" s="433"/>
      <c r="G21" s="433"/>
      <c r="H21" s="433"/>
      <c r="I21" s="433"/>
      <c r="J21" s="433"/>
      <c r="K21" s="433"/>
      <c r="L21" s="434"/>
      <c r="M21" s="435">
        <f>SUM(E21:L21)</f>
        <v>0</v>
      </c>
      <c r="N21" s="39"/>
    </row>
    <row r="22" spans="1:14" ht="15.6" thickBot="1">
      <c r="A22" s="39"/>
      <c r="B22" s="596" t="str">
        <f>"13"</f>
        <v>13</v>
      </c>
      <c r="C22" s="268" t="s">
        <v>79</v>
      </c>
      <c r="D22" s="353" t="str">
        <f>'Tab.G2.1-3'!$D$72</f>
        <v>[km]</v>
      </c>
      <c r="E22" s="441"/>
      <c r="F22" s="442"/>
      <c r="G22" s="442"/>
      <c r="H22" s="442"/>
      <c r="I22" s="442"/>
      <c r="J22" s="442"/>
      <c r="K22" s="442"/>
      <c r="L22" s="443"/>
      <c r="M22" s="444">
        <f>SUM(E22:L22)</f>
        <v>0</v>
      </c>
      <c r="N22" s="39"/>
    </row>
    <row r="23" spans="1:14" ht="15.6" thickBot="1">
      <c r="A23" s="39"/>
      <c r="B23" s="368" t="str">
        <f>"14"</f>
        <v>14</v>
      </c>
      <c r="C23" s="342" t="s">
        <v>125</v>
      </c>
      <c r="D23" s="348" t="str">
        <f>'Tab.G2.1-3'!$D$72</f>
        <v>[km]</v>
      </c>
      <c r="E23" s="421">
        <f>SUM(E24,E29,E34)</f>
        <v>0</v>
      </c>
      <c r="F23" s="422">
        <f>SUM(F24,F29,F34)</f>
        <v>0</v>
      </c>
      <c r="G23" s="422">
        <f t="shared" ref="G23:K23" si="5">SUM(G24,G29,G34)</f>
        <v>0</v>
      </c>
      <c r="H23" s="422">
        <f t="shared" si="5"/>
        <v>0</v>
      </c>
      <c r="I23" s="422">
        <f t="shared" si="5"/>
        <v>0</v>
      </c>
      <c r="J23" s="422">
        <f t="shared" si="5"/>
        <v>0</v>
      </c>
      <c r="K23" s="422">
        <f t="shared" si="5"/>
        <v>0</v>
      </c>
      <c r="L23" s="423">
        <f>SUM(L24,L29,L34)</f>
        <v>0</v>
      </c>
      <c r="M23" s="424">
        <f>SUM(M24,M29,M34)</f>
        <v>0</v>
      </c>
      <c r="N23" s="39"/>
    </row>
    <row r="24" spans="1:14">
      <c r="A24" s="39"/>
      <c r="B24" s="592" t="str">
        <f>"15"</f>
        <v>15</v>
      </c>
      <c r="C24" s="347" t="s">
        <v>75</v>
      </c>
      <c r="D24" s="349" t="str">
        <f>'Tab.G2.1-3'!$D$72</f>
        <v>[km]</v>
      </c>
      <c r="E24" s="425">
        <f>SUM(E25:E28)</f>
        <v>0</v>
      </c>
      <c r="F24" s="426">
        <f>SUM(F25:F28)</f>
        <v>0</v>
      </c>
      <c r="G24" s="426">
        <f t="shared" ref="G24:K24" si="6">SUM(G25:G28)</f>
        <v>0</v>
      </c>
      <c r="H24" s="426">
        <f t="shared" si="6"/>
        <v>0</v>
      </c>
      <c r="I24" s="426">
        <f t="shared" si="6"/>
        <v>0</v>
      </c>
      <c r="J24" s="426">
        <f t="shared" si="6"/>
        <v>0</v>
      </c>
      <c r="K24" s="426">
        <f t="shared" si="6"/>
        <v>0</v>
      </c>
      <c r="L24" s="427">
        <f>SUM(L25:L28)</f>
        <v>0</v>
      </c>
      <c r="M24" s="420">
        <f>SUM(M25:M28)</f>
        <v>0</v>
      </c>
      <c r="N24" s="39"/>
    </row>
    <row r="25" spans="1:14">
      <c r="A25" s="39"/>
      <c r="B25" s="593" t="str">
        <f>"16"</f>
        <v>16</v>
      </c>
      <c r="C25" s="263" t="s">
        <v>81</v>
      </c>
      <c r="D25" s="350" t="str">
        <f>'Tab.G2.1-3'!$D$72</f>
        <v>[km]</v>
      </c>
      <c r="E25" s="428"/>
      <c r="F25" s="429"/>
      <c r="G25" s="429"/>
      <c r="H25" s="429"/>
      <c r="I25" s="429"/>
      <c r="J25" s="429"/>
      <c r="K25" s="429"/>
      <c r="L25" s="430"/>
      <c r="M25" s="431">
        <f>SUM(E25:L25)</f>
        <v>0</v>
      </c>
      <c r="N25" s="39"/>
    </row>
    <row r="26" spans="1:14" ht="15.75" customHeight="1">
      <c r="A26" s="39"/>
      <c r="B26" s="594" t="str">
        <f>"17"</f>
        <v>17</v>
      </c>
      <c r="C26" s="264" t="s">
        <v>78</v>
      </c>
      <c r="D26" s="351" t="str">
        <f>'Tab.G2.1-3'!$D$72</f>
        <v>[km]</v>
      </c>
      <c r="E26" s="432"/>
      <c r="F26" s="433"/>
      <c r="G26" s="433"/>
      <c r="H26" s="433"/>
      <c r="I26" s="433"/>
      <c r="J26" s="433"/>
      <c r="K26" s="433"/>
      <c r="L26" s="434"/>
      <c r="M26" s="435">
        <f>SUM(E26:L26)</f>
        <v>0</v>
      </c>
      <c r="N26" s="39"/>
    </row>
    <row r="27" spans="1:14">
      <c r="A27" s="39"/>
      <c r="B27" s="594" t="str">
        <f>"18"</f>
        <v>18</v>
      </c>
      <c r="C27" s="265" t="s">
        <v>82</v>
      </c>
      <c r="D27" s="351" t="str">
        <f>'Tab.G2.1-3'!$D$72</f>
        <v>[km]</v>
      </c>
      <c r="E27" s="432"/>
      <c r="F27" s="433"/>
      <c r="G27" s="433"/>
      <c r="H27" s="433"/>
      <c r="I27" s="433"/>
      <c r="J27" s="433"/>
      <c r="K27" s="433"/>
      <c r="L27" s="434"/>
      <c r="M27" s="435">
        <f>SUM(E27:L27)</f>
        <v>0</v>
      </c>
      <c r="N27" s="39"/>
    </row>
    <row r="28" spans="1:14">
      <c r="A28" s="39"/>
      <c r="B28" s="595" t="str">
        <f>"19"</f>
        <v>19</v>
      </c>
      <c r="C28" s="267" t="s">
        <v>83</v>
      </c>
      <c r="D28" s="352" t="str">
        <f>'Tab.G2.1-3'!$D$72</f>
        <v>[km]</v>
      </c>
      <c r="E28" s="436"/>
      <c r="F28" s="437"/>
      <c r="G28" s="437"/>
      <c r="H28" s="437"/>
      <c r="I28" s="437"/>
      <c r="J28" s="437"/>
      <c r="K28" s="437"/>
      <c r="L28" s="438"/>
      <c r="M28" s="439">
        <f>SUM(E28:L28)</f>
        <v>0</v>
      </c>
      <c r="N28" s="39"/>
    </row>
    <row r="29" spans="1:14">
      <c r="A29" s="39"/>
      <c r="B29" s="592" t="str">
        <f>"20"</f>
        <v>20</v>
      </c>
      <c r="C29" s="347" t="s">
        <v>80</v>
      </c>
      <c r="D29" s="349" t="str">
        <f>'Tab.G2.1-3'!$D$72</f>
        <v>[km]</v>
      </c>
      <c r="E29" s="425">
        <f t="shared" ref="E29:M29" si="7">SUM(E30:E33)</f>
        <v>0</v>
      </c>
      <c r="F29" s="426">
        <f t="shared" si="7"/>
        <v>0</v>
      </c>
      <c r="G29" s="426">
        <f t="shared" si="7"/>
        <v>0</v>
      </c>
      <c r="H29" s="426">
        <f t="shared" si="7"/>
        <v>0</v>
      </c>
      <c r="I29" s="426">
        <f t="shared" si="7"/>
        <v>0</v>
      </c>
      <c r="J29" s="426">
        <f t="shared" si="7"/>
        <v>0</v>
      </c>
      <c r="K29" s="426">
        <f t="shared" si="7"/>
        <v>0</v>
      </c>
      <c r="L29" s="427">
        <f t="shared" si="7"/>
        <v>0</v>
      </c>
      <c r="M29" s="440">
        <f t="shared" si="7"/>
        <v>0</v>
      </c>
      <c r="N29" s="39"/>
    </row>
    <row r="30" spans="1:14">
      <c r="A30" s="39"/>
      <c r="B30" s="593" t="str">
        <f>"21"</f>
        <v>21</v>
      </c>
      <c r="C30" s="263" t="s">
        <v>81</v>
      </c>
      <c r="D30" s="350" t="str">
        <f>'Tab.G2.1-3'!$D$72</f>
        <v>[km]</v>
      </c>
      <c r="E30" s="428"/>
      <c r="F30" s="429"/>
      <c r="G30" s="429"/>
      <c r="H30" s="429"/>
      <c r="I30" s="429"/>
      <c r="J30" s="429"/>
      <c r="K30" s="429"/>
      <c r="L30" s="430"/>
      <c r="M30" s="431">
        <f>SUM(E30:L30)</f>
        <v>0</v>
      </c>
      <c r="N30" s="39"/>
    </row>
    <row r="31" spans="1:14">
      <c r="A31" s="39"/>
      <c r="B31" s="594" t="str">
        <f>"22"</f>
        <v>22</v>
      </c>
      <c r="C31" s="264" t="s">
        <v>78</v>
      </c>
      <c r="D31" s="351" t="str">
        <f>'Tab.G2.1-3'!$D$72</f>
        <v>[km]</v>
      </c>
      <c r="E31" s="432"/>
      <c r="F31" s="433"/>
      <c r="G31" s="433"/>
      <c r="H31" s="433"/>
      <c r="I31" s="433"/>
      <c r="J31" s="433"/>
      <c r="K31" s="433"/>
      <c r="L31" s="434"/>
      <c r="M31" s="435">
        <f>SUM(E31:L31)</f>
        <v>0</v>
      </c>
      <c r="N31" s="39"/>
    </row>
    <row r="32" spans="1:14">
      <c r="A32" s="39"/>
      <c r="B32" s="594" t="str">
        <f>"23"</f>
        <v>23</v>
      </c>
      <c r="C32" s="265" t="s">
        <v>82</v>
      </c>
      <c r="D32" s="351" t="str">
        <f>'Tab.G2.1-3'!$D$72</f>
        <v>[km]</v>
      </c>
      <c r="E32" s="432"/>
      <c r="F32" s="433"/>
      <c r="G32" s="433"/>
      <c r="H32" s="433"/>
      <c r="I32" s="433"/>
      <c r="J32" s="433"/>
      <c r="K32" s="433"/>
      <c r="L32" s="434"/>
      <c r="M32" s="435">
        <f>SUM(E32:L32)</f>
        <v>0</v>
      </c>
      <c r="N32" s="39"/>
    </row>
    <row r="33" spans="1:14">
      <c r="A33" s="39"/>
      <c r="B33" s="595" t="str">
        <f>"24"</f>
        <v>24</v>
      </c>
      <c r="C33" s="267" t="s">
        <v>83</v>
      </c>
      <c r="D33" s="352" t="str">
        <f>'Tab.G2.1-3'!$D$72</f>
        <v>[km]</v>
      </c>
      <c r="E33" s="436"/>
      <c r="F33" s="437"/>
      <c r="G33" s="437"/>
      <c r="H33" s="437"/>
      <c r="I33" s="437"/>
      <c r="J33" s="437"/>
      <c r="K33" s="437"/>
      <c r="L33" s="438"/>
      <c r="M33" s="439">
        <f>SUM(E33:L33)</f>
        <v>0</v>
      </c>
      <c r="N33" s="39"/>
    </row>
    <row r="34" spans="1:14">
      <c r="A34" s="39"/>
      <c r="B34" s="592" t="str">
        <f>"25"</f>
        <v>25</v>
      </c>
      <c r="C34" s="347" t="s">
        <v>171</v>
      </c>
      <c r="D34" s="349" t="str">
        <f>'Tab.G2.1-3'!$D$72</f>
        <v>[km]</v>
      </c>
      <c r="E34" s="425">
        <f>SUM(E35:E38)</f>
        <v>0</v>
      </c>
      <c r="F34" s="426">
        <f>SUM(F35:F38)</f>
        <v>0</v>
      </c>
      <c r="G34" s="426">
        <f t="shared" ref="G34:K34" si="8">SUM(G35:G38)</f>
        <v>0</v>
      </c>
      <c r="H34" s="426">
        <f t="shared" si="8"/>
        <v>0</v>
      </c>
      <c r="I34" s="426">
        <f t="shared" si="8"/>
        <v>0</v>
      </c>
      <c r="J34" s="426">
        <f t="shared" si="8"/>
        <v>0</v>
      </c>
      <c r="K34" s="426">
        <f t="shared" si="8"/>
        <v>0</v>
      </c>
      <c r="L34" s="427">
        <f>SUM(L35:L38)</f>
        <v>0</v>
      </c>
      <c r="M34" s="440">
        <f>SUM(M35:M38)</f>
        <v>0</v>
      </c>
      <c r="N34" s="39"/>
    </row>
    <row r="35" spans="1:14">
      <c r="A35" s="39"/>
      <c r="B35" s="593" t="str">
        <f>"26"</f>
        <v>26</v>
      </c>
      <c r="C35" s="263" t="s">
        <v>81</v>
      </c>
      <c r="D35" s="350" t="str">
        <f>'Tab.G2.1-3'!$D$72</f>
        <v>[km]</v>
      </c>
      <c r="E35" s="428"/>
      <c r="F35" s="429"/>
      <c r="G35" s="429"/>
      <c r="H35" s="429"/>
      <c r="I35" s="429"/>
      <c r="J35" s="429"/>
      <c r="K35" s="429"/>
      <c r="L35" s="430"/>
      <c r="M35" s="431">
        <f>SUM(E35:L35)</f>
        <v>0</v>
      </c>
      <c r="N35" s="39"/>
    </row>
    <row r="36" spans="1:14">
      <c r="A36" s="39"/>
      <c r="B36" s="594" t="str">
        <f>"27"</f>
        <v>27</v>
      </c>
      <c r="C36" s="264" t="s">
        <v>78</v>
      </c>
      <c r="D36" s="351" t="str">
        <f>'Tab.G2.1-3'!$D$72</f>
        <v>[km]</v>
      </c>
      <c r="E36" s="432"/>
      <c r="F36" s="433"/>
      <c r="G36" s="433"/>
      <c r="H36" s="433"/>
      <c r="I36" s="433"/>
      <c r="J36" s="433"/>
      <c r="K36" s="433"/>
      <c r="L36" s="434"/>
      <c r="M36" s="435">
        <f>SUM(E36:L36)</f>
        <v>0</v>
      </c>
      <c r="N36" s="39"/>
    </row>
    <row r="37" spans="1:14">
      <c r="A37" s="39"/>
      <c r="B37" s="594" t="str">
        <f>"28"</f>
        <v>28</v>
      </c>
      <c r="C37" s="265" t="s">
        <v>82</v>
      </c>
      <c r="D37" s="351" t="str">
        <f>'Tab.G2.1-3'!$D$72</f>
        <v>[km]</v>
      </c>
      <c r="E37" s="432"/>
      <c r="F37" s="433"/>
      <c r="G37" s="433"/>
      <c r="H37" s="433"/>
      <c r="I37" s="433"/>
      <c r="J37" s="433"/>
      <c r="K37" s="433"/>
      <c r="L37" s="434"/>
      <c r="M37" s="435">
        <f>SUM(E37:L37)</f>
        <v>0</v>
      </c>
      <c r="N37" s="39"/>
    </row>
    <row r="38" spans="1:14" ht="15.6" thickBot="1">
      <c r="A38" s="39"/>
      <c r="B38" s="596" t="str">
        <f>"29"</f>
        <v>29</v>
      </c>
      <c r="C38" s="268" t="s">
        <v>83</v>
      </c>
      <c r="D38" s="353" t="str">
        <f>'Tab.G2.1-3'!$D$72</f>
        <v>[km]</v>
      </c>
      <c r="E38" s="441"/>
      <c r="F38" s="442"/>
      <c r="G38" s="442"/>
      <c r="H38" s="442"/>
      <c r="I38" s="442"/>
      <c r="J38" s="442"/>
      <c r="K38" s="442"/>
      <c r="L38" s="443"/>
      <c r="M38" s="444">
        <f>SUM(E38:L38)</f>
        <v>0</v>
      </c>
      <c r="N38" s="39"/>
    </row>
    <row r="39" spans="1:14" ht="18.75" customHeight="1" thickBot="1">
      <c r="A39" s="39"/>
      <c r="B39" s="368" t="str">
        <f>"30"</f>
        <v>30</v>
      </c>
      <c r="C39" s="342" t="s">
        <v>172</v>
      </c>
      <c r="D39" s="348" t="str">
        <f>'Tab.G2.1-3'!$D$72</f>
        <v>[km]</v>
      </c>
      <c r="E39" s="421"/>
      <c r="F39" s="422"/>
      <c r="G39" s="422"/>
      <c r="H39" s="422"/>
      <c r="I39" s="422"/>
      <c r="J39" s="422"/>
      <c r="K39" s="422"/>
      <c r="L39" s="423"/>
      <c r="M39" s="424">
        <f t="shared" ref="M39" si="9">SUM(E39:L39)</f>
        <v>0</v>
      </c>
      <c r="N39" s="39"/>
    </row>
    <row r="40" spans="1:14" ht="15.6" thickBot="1">
      <c r="A40" s="39"/>
      <c r="B40" s="368" t="str">
        <f>"31"</f>
        <v>31</v>
      </c>
      <c r="C40" s="342" t="s">
        <v>194</v>
      </c>
      <c r="D40" s="348" t="str">
        <f>'Tab.G2.1-3'!$D$72</f>
        <v>[km]</v>
      </c>
      <c r="E40" s="421">
        <f>SUM(E41,E46)</f>
        <v>0</v>
      </c>
      <c r="F40" s="445">
        <f>SUM(F41,F46)</f>
        <v>0</v>
      </c>
      <c r="G40" s="445">
        <f t="shared" ref="G40:K40" si="10">SUM(G41,G46)</f>
        <v>0</v>
      </c>
      <c r="H40" s="445">
        <f t="shared" si="10"/>
        <v>0</v>
      </c>
      <c r="I40" s="445">
        <f t="shared" si="10"/>
        <v>0</v>
      </c>
      <c r="J40" s="445">
        <f t="shared" si="10"/>
        <v>0</v>
      </c>
      <c r="K40" s="445">
        <f t="shared" si="10"/>
        <v>0</v>
      </c>
      <c r="L40" s="446">
        <f>SUM(L41,L46)</f>
        <v>0</v>
      </c>
      <c r="M40" s="424">
        <f>SUM(M41,M46)</f>
        <v>0</v>
      </c>
      <c r="N40" s="39"/>
    </row>
    <row r="41" spans="1:14">
      <c r="A41" s="39"/>
      <c r="B41" s="369" t="str">
        <f>"32"</f>
        <v>32</v>
      </c>
      <c r="C41" s="347" t="s">
        <v>75</v>
      </c>
      <c r="D41" s="354" t="str">
        <f>'Tab.G2.1-3'!$D$72</f>
        <v>[km]</v>
      </c>
      <c r="E41" s="447">
        <f>SUM(E42:E45)</f>
        <v>0</v>
      </c>
      <c r="F41" s="448">
        <f>SUM(F42:F45)</f>
        <v>0</v>
      </c>
      <c r="G41" s="448">
        <f t="shared" ref="G41:K41" si="11">SUM(G42:G45)</f>
        <v>0</v>
      </c>
      <c r="H41" s="448">
        <f t="shared" si="11"/>
        <v>0</v>
      </c>
      <c r="I41" s="448">
        <f t="shared" si="11"/>
        <v>0</v>
      </c>
      <c r="J41" s="448">
        <f t="shared" si="11"/>
        <v>0</v>
      </c>
      <c r="K41" s="448">
        <f t="shared" si="11"/>
        <v>0</v>
      </c>
      <c r="L41" s="449">
        <f>SUM(L42:L45)</f>
        <v>0</v>
      </c>
      <c r="M41" s="440">
        <f>SUM(M42:M45)</f>
        <v>0</v>
      </c>
      <c r="N41" s="39"/>
    </row>
    <row r="42" spans="1:14">
      <c r="A42" s="39"/>
      <c r="B42" s="597" t="str">
        <f>"33"</f>
        <v>33</v>
      </c>
      <c r="C42" s="266" t="s">
        <v>84</v>
      </c>
      <c r="D42" s="355" t="str">
        <f>'Tab.G2.1-3'!$D$72</f>
        <v>[km]</v>
      </c>
      <c r="E42" s="450"/>
      <c r="F42" s="451"/>
      <c r="G42" s="451"/>
      <c r="H42" s="451"/>
      <c r="I42" s="451"/>
      <c r="J42" s="451"/>
      <c r="K42" s="451"/>
      <c r="L42" s="452"/>
      <c r="M42" s="431">
        <f>SUM(E42:L42)</f>
        <v>0</v>
      </c>
      <c r="N42" s="39"/>
    </row>
    <row r="43" spans="1:14">
      <c r="A43" s="39"/>
      <c r="B43" s="598" t="str">
        <f>"34"</f>
        <v>34</v>
      </c>
      <c r="C43" s="265" t="s">
        <v>85</v>
      </c>
      <c r="D43" s="356" t="str">
        <f>'Tab.G2.1-3'!$D$72</f>
        <v>[km]</v>
      </c>
      <c r="E43" s="453"/>
      <c r="F43" s="454"/>
      <c r="G43" s="454"/>
      <c r="H43" s="454"/>
      <c r="I43" s="454"/>
      <c r="J43" s="454"/>
      <c r="K43" s="454"/>
      <c r="L43" s="455"/>
      <c r="M43" s="435">
        <f>SUM(E43:L43)</f>
        <v>0</v>
      </c>
      <c r="N43" s="39"/>
    </row>
    <row r="44" spans="1:14">
      <c r="A44" s="39"/>
      <c r="B44" s="598" t="str">
        <f>"35"</f>
        <v>35</v>
      </c>
      <c r="C44" s="265" t="s">
        <v>86</v>
      </c>
      <c r="D44" s="356" t="str">
        <f>'Tab.G2.1-3'!$D$72</f>
        <v>[km]</v>
      </c>
      <c r="E44" s="453"/>
      <c r="F44" s="454"/>
      <c r="G44" s="454"/>
      <c r="H44" s="454"/>
      <c r="I44" s="454"/>
      <c r="J44" s="454"/>
      <c r="K44" s="454"/>
      <c r="L44" s="455"/>
      <c r="M44" s="435">
        <f>SUM(E44:L44)</f>
        <v>0</v>
      </c>
      <c r="N44" s="39"/>
    </row>
    <row r="45" spans="1:14">
      <c r="A45" s="39"/>
      <c r="B45" s="599" t="str">
        <f>"36"</f>
        <v>36</v>
      </c>
      <c r="C45" s="267" t="s">
        <v>87</v>
      </c>
      <c r="D45" s="357" t="str">
        <f>'Tab.G2.1-3'!$D$72</f>
        <v>[km]</v>
      </c>
      <c r="E45" s="456"/>
      <c r="F45" s="457"/>
      <c r="G45" s="457"/>
      <c r="H45" s="457"/>
      <c r="I45" s="457"/>
      <c r="J45" s="457"/>
      <c r="K45" s="457"/>
      <c r="L45" s="458"/>
      <c r="M45" s="439">
        <f>SUM(E45:L45)</f>
        <v>0</v>
      </c>
      <c r="N45" s="39"/>
    </row>
    <row r="46" spans="1:14">
      <c r="A46" s="39"/>
      <c r="B46" s="600" t="str">
        <f>"37"</f>
        <v>37</v>
      </c>
      <c r="C46" s="347" t="s">
        <v>80</v>
      </c>
      <c r="D46" s="354" t="str">
        <f>'Tab.G2.1-3'!$D$72</f>
        <v>[km]</v>
      </c>
      <c r="E46" s="447">
        <f>SUM(E47:E50)</f>
        <v>0</v>
      </c>
      <c r="F46" s="448">
        <f>SUM(F47:F50)</f>
        <v>0</v>
      </c>
      <c r="G46" s="448">
        <f t="shared" ref="G46:K46" si="12">SUM(G47:G50)</f>
        <v>0</v>
      </c>
      <c r="H46" s="448">
        <f t="shared" si="12"/>
        <v>0</v>
      </c>
      <c r="I46" s="448">
        <f t="shared" si="12"/>
        <v>0</v>
      </c>
      <c r="J46" s="448">
        <f t="shared" si="12"/>
        <v>0</v>
      </c>
      <c r="K46" s="448">
        <f t="shared" si="12"/>
        <v>0</v>
      </c>
      <c r="L46" s="449">
        <f>SUM(L47:L50)</f>
        <v>0</v>
      </c>
      <c r="M46" s="440">
        <f>SUM(M47:M50)</f>
        <v>0</v>
      </c>
      <c r="N46" s="39"/>
    </row>
    <row r="47" spans="1:14">
      <c r="A47" s="39"/>
      <c r="B47" s="597" t="str">
        <f>"38"</f>
        <v>38</v>
      </c>
      <c r="C47" s="266" t="s">
        <v>84</v>
      </c>
      <c r="D47" s="355" t="str">
        <f>'Tab.G2.1-3'!$D$72</f>
        <v>[km]</v>
      </c>
      <c r="E47" s="450"/>
      <c r="F47" s="451"/>
      <c r="G47" s="451"/>
      <c r="H47" s="451"/>
      <c r="I47" s="451"/>
      <c r="J47" s="451"/>
      <c r="K47" s="451"/>
      <c r="L47" s="452"/>
      <c r="M47" s="431">
        <f>SUM(E47:L47)</f>
        <v>0</v>
      </c>
      <c r="N47" s="39"/>
    </row>
    <row r="48" spans="1:14">
      <c r="A48" s="39"/>
      <c r="B48" s="598" t="str">
        <f>"39"</f>
        <v>39</v>
      </c>
      <c r="C48" s="265" t="s">
        <v>85</v>
      </c>
      <c r="D48" s="356" t="str">
        <f>'Tab.G2.1-3'!$D$72</f>
        <v>[km]</v>
      </c>
      <c r="E48" s="453"/>
      <c r="F48" s="454"/>
      <c r="G48" s="454"/>
      <c r="H48" s="454"/>
      <c r="I48" s="454"/>
      <c r="J48" s="454"/>
      <c r="K48" s="454"/>
      <c r="L48" s="455"/>
      <c r="M48" s="435">
        <f>SUM(E48:L48)</f>
        <v>0</v>
      </c>
      <c r="N48" s="39"/>
    </row>
    <row r="49" spans="1:14">
      <c r="A49" s="39"/>
      <c r="B49" s="598" t="str">
        <f>"40"</f>
        <v>40</v>
      </c>
      <c r="C49" s="265" t="s">
        <v>86</v>
      </c>
      <c r="D49" s="356" t="str">
        <f>'Tab.G2.1-3'!$D$72</f>
        <v>[km]</v>
      </c>
      <c r="E49" s="453"/>
      <c r="F49" s="454"/>
      <c r="G49" s="454"/>
      <c r="H49" s="454"/>
      <c r="I49" s="454"/>
      <c r="J49" s="454"/>
      <c r="K49" s="454"/>
      <c r="L49" s="455"/>
      <c r="M49" s="435">
        <f>SUM(E49:L49)</f>
        <v>0</v>
      </c>
      <c r="N49" s="39"/>
    </row>
    <row r="50" spans="1:14" ht="15.6" thickBot="1">
      <c r="A50" s="39"/>
      <c r="B50" s="601" t="str">
        <f>"41"</f>
        <v>41</v>
      </c>
      <c r="C50" s="268" t="s">
        <v>87</v>
      </c>
      <c r="D50" s="358" t="str">
        <f>'Tab.G2.1-3'!$D$72</f>
        <v>[km]</v>
      </c>
      <c r="E50" s="459"/>
      <c r="F50" s="460"/>
      <c r="G50" s="460"/>
      <c r="H50" s="460"/>
      <c r="I50" s="460"/>
      <c r="J50" s="460"/>
      <c r="K50" s="460"/>
      <c r="L50" s="461"/>
      <c r="M50" s="444">
        <f>SUM(E50:L50)</f>
        <v>0</v>
      </c>
      <c r="N50" s="39"/>
    </row>
    <row r="51" spans="1:14" ht="15.6" thickBot="1">
      <c r="A51" s="39"/>
      <c r="B51" s="555" t="str">
        <f>"42"</f>
        <v>42</v>
      </c>
      <c r="C51" s="556" t="s">
        <v>117</v>
      </c>
      <c r="D51" s="557" t="str">
        <f>'Tab.G2.1-3'!$D$106</f>
        <v>[szt.]</v>
      </c>
      <c r="E51" s="558">
        <f>SUM(E52,E56,E60,E64:E66)</f>
        <v>0</v>
      </c>
      <c r="F51" s="559">
        <f>SUM(F52,F56,F60,F64:F66)</f>
        <v>0</v>
      </c>
      <c r="G51" s="559">
        <f t="shared" ref="G51:K51" si="13">SUM(G52,G56,G60,G64:G66)</f>
        <v>0</v>
      </c>
      <c r="H51" s="559">
        <f t="shared" si="13"/>
        <v>0</v>
      </c>
      <c r="I51" s="559">
        <f t="shared" si="13"/>
        <v>0</v>
      </c>
      <c r="J51" s="559">
        <f t="shared" si="13"/>
        <v>0</v>
      </c>
      <c r="K51" s="559">
        <f t="shared" si="13"/>
        <v>0</v>
      </c>
      <c r="L51" s="560">
        <f>SUM(L52,L56,L60,L64:L66)</f>
        <v>0</v>
      </c>
      <c r="M51" s="371">
        <f>SUM(M52,M56,M60,M64:M66)</f>
        <v>0</v>
      </c>
      <c r="N51" s="39"/>
    </row>
    <row r="52" spans="1:14">
      <c r="A52" s="39"/>
      <c r="B52" s="602" t="str">
        <f>"43"</f>
        <v>43</v>
      </c>
      <c r="C52" s="345" t="s">
        <v>196</v>
      </c>
      <c r="D52" s="359" t="str">
        <f>'Tab.G2.1-3'!$D$106</f>
        <v>[szt.]</v>
      </c>
      <c r="E52" s="372">
        <f>SUM(E53:E55)</f>
        <v>0</v>
      </c>
      <c r="F52" s="373">
        <f>SUM(F53:F55)</f>
        <v>0</v>
      </c>
      <c r="G52" s="373">
        <f t="shared" ref="G52:K52" si="14">SUM(G53:G55)</f>
        <v>0</v>
      </c>
      <c r="H52" s="373">
        <f t="shared" si="14"/>
        <v>0</v>
      </c>
      <c r="I52" s="373">
        <f t="shared" si="14"/>
        <v>0</v>
      </c>
      <c r="J52" s="373">
        <f t="shared" si="14"/>
        <v>0</v>
      </c>
      <c r="K52" s="373">
        <f t="shared" si="14"/>
        <v>0</v>
      </c>
      <c r="L52" s="374">
        <f>SUM(L53:L55)</f>
        <v>0</v>
      </c>
      <c r="M52" s="375">
        <f>SUM(M53:M55)</f>
        <v>0</v>
      </c>
      <c r="N52" s="39"/>
    </row>
    <row r="53" spans="1:14">
      <c r="A53" s="39"/>
      <c r="B53" s="593" t="str">
        <f>"44"</f>
        <v>44</v>
      </c>
      <c r="C53" s="263" t="s">
        <v>88</v>
      </c>
      <c r="D53" s="355" t="str">
        <f>'Tab.G2.1-3'!$D$106</f>
        <v>[szt.]</v>
      </c>
      <c r="E53" s="376"/>
      <c r="F53" s="377"/>
      <c r="G53" s="377"/>
      <c r="H53" s="377"/>
      <c r="I53" s="377"/>
      <c r="J53" s="377"/>
      <c r="K53" s="377"/>
      <c r="L53" s="378"/>
      <c r="M53" s="379">
        <f>SUM(E53:L53)</f>
        <v>0</v>
      </c>
      <c r="N53" s="39"/>
    </row>
    <row r="54" spans="1:14">
      <c r="A54" s="39"/>
      <c r="B54" s="594" t="str">
        <f>"45"</f>
        <v>45</v>
      </c>
      <c r="C54" s="264" t="s">
        <v>89</v>
      </c>
      <c r="D54" s="356" t="str">
        <f>'Tab.G2.1-3'!$D$106</f>
        <v>[szt.]</v>
      </c>
      <c r="E54" s="380"/>
      <c r="F54" s="381"/>
      <c r="G54" s="381"/>
      <c r="H54" s="381"/>
      <c r="I54" s="381"/>
      <c r="J54" s="381"/>
      <c r="K54" s="381"/>
      <c r="L54" s="382"/>
      <c r="M54" s="383">
        <f>SUM(E54:L54)</f>
        <v>0</v>
      </c>
      <c r="N54" s="39"/>
    </row>
    <row r="55" spans="1:14">
      <c r="A55" s="39"/>
      <c r="B55" s="595" t="str">
        <f>"46"</f>
        <v>46</v>
      </c>
      <c r="C55" s="272" t="s">
        <v>90</v>
      </c>
      <c r="D55" s="357" t="str">
        <f>'Tab.G2.1-3'!$D$106</f>
        <v>[szt.]</v>
      </c>
      <c r="E55" s="384"/>
      <c r="F55" s="385"/>
      <c r="G55" s="385"/>
      <c r="H55" s="385"/>
      <c r="I55" s="385"/>
      <c r="J55" s="385"/>
      <c r="K55" s="385"/>
      <c r="L55" s="386"/>
      <c r="M55" s="387">
        <f>SUM(E55:L55)</f>
        <v>0</v>
      </c>
      <c r="N55" s="39"/>
    </row>
    <row r="56" spans="1:14">
      <c r="A56" s="39"/>
      <c r="B56" s="603" t="str">
        <f>"47"</f>
        <v>47</v>
      </c>
      <c r="C56" s="345" t="s">
        <v>197</v>
      </c>
      <c r="D56" s="360" t="str">
        <f>'Tab.G2.1-3'!$D$106</f>
        <v>[szt.]</v>
      </c>
      <c r="E56" s="388">
        <f t="shared" ref="E56:M56" si="15">SUM(E57:E59)</f>
        <v>0</v>
      </c>
      <c r="F56" s="389">
        <f t="shared" si="15"/>
        <v>0</v>
      </c>
      <c r="G56" s="389">
        <f t="shared" si="15"/>
        <v>0</v>
      </c>
      <c r="H56" s="389">
        <f t="shared" si="15"/>
        <v>0</v>
      </c>
      <c r="I56" s="389">
        <f t="shared" si="15"/>
        <v>0</v>
      </c>
      <c r="J56" s="389">
        <f t="shared" si="15"/>
        <v>0</v>
      </c>
      <c r="K56" s="389">
        <f t="shared" si="15"/>
        <v>0</v>
      </c>
      <c r="L56" s="390">
        <f t="shared" si="15"/>
        <v>0</v>
      </c>
      <c r="M56" s="391">
        <f t="shared" si="15"/>
        <v>0</v>
      </c>
      <c r="N56" s="39"/>
    </row>
    <row r="57" spans="1:14">
      <c r="A57" s="39"/>
      <c r="B57" s="593" t="str">
        <f>"48"</f>
        <v>48</v>
      </c>
      <c r="C57" s="263" t="s">
        <v>91</v>
      </c>
      <c r="D57" s="355" t="str">
        <f>'Tab.G2.1-3'!$D$106</f>
        <v>[szt.]</v>
      </c>
      <c r="E57" s="376"/>
      <c r="F57" s="377"/>
      <c r="G57" s="377"/>
      <c r="H57" s="377"/>
      <c r="I57" s="377"/>
      <c r="J57" s="377"/>
      <c r="K57" s="377"/>
      <c r="L57" s="378"/>
      <c r="M57" s="379">
        <f>SUM(E57:L57)</f>
        <v>0</v>
      </c>
      <c r="N57" s="39"/>
    </row>
    <row r="58" spans="1:14">
      <c r="A58" s="39"/>
      <c r="B58" s="594" t="str">
        <f>"49"</f>
        <v>49</v>
      </c>
      <c r="C58" s="265" t="s">
        <v>92</v>
      </c>
      <c r="D58" s="356" t="str">
        <f>'Tab.G2.1-3'!$D$106</f>
        <v>[szt.]</v>
      </c>
      <c r="E58" s="380"/>
      <c r="F58" s="381"/>
      <c r="G58" s="381"/>
      <c r="H58" s="381"/>
      <c r="I58" s="381"/>
      <c r="J58" s="381"/>
      <c r="K58" s="381"/>
      <c r="L58" s="382"/>
      <c r="M58" s="383">
        <f>SUM(E58:L58)</f>
        <v>0</v>
      </c>
      <c r="N58" s="39"/>
    </row>
    <row r="59" spans="1:14">
      <c r="A59" s="39"/>
      <c r="B59" s="595" t="str">
        <f>"50"</f>
        <v>50</v>
      </c>
      <c r="C59" s="272" t="s">
        <v>93</v>
      </c>
      <c r="D59" s="357" t="str">
        <f>'Tab.G2.1-3'!$D$106</f>
        <v>[szt.]</v>
      </c>
      <c r="E59" s="384"/>
      <c r="F59" s="385"/>
      <c r="G59" s="385"/>
      <c r="H59" s="385"/>
      <c r="I59" s="385"/>
      <c r="J59" s="385"/>
      <c r="K59" s="385"/>
      <c r="L59" s="386"/>
      <c r="M59" s="387">
        <f>SUM(E59:L59)</f>
        <v>0</v>
      </c>
      <c r="N59" s="39"/>
    </row>
    <row r="60" spans="1:14">
      <c r="A60" s="39"/>
      <c r="B60" s="603" t="str">
        <f>"51"</f>
        <v>51</v>
      </c>
      <c r="C60" s="345" t="s">
        <v>198</v>
      </c>
      <c r="D60" s="360" t="str">
        <f>'Tab.G2.1-3'!$D$106</f>
        <v>[szt.]</v>
      </c>
      <c r="E60" s="388">
        <f t="shared" ref="E60:K60" si="16">SUM(E61:E63)</f>
        <v>0</v>
      </c>
      <c r="F60" s="389">
        <f t="shared" si="16"/>
        <v>0</v>
      </c>
      <c r="G60" s="389">
        <f t="shared" si="16"/>
        <v>0</v>
      </c>
      <c r="H60" s="389">
        <f t="shared" si="16"/>
        <v>0</v>
      </c>
      <c r="I60" s="389">
        <f t="shared" si="16"/>
        <v>0</v>
      </c>
      <c r="J60" s="389">
        <f t="shared" si="16"/>
        <v>0</v>
      </c>
      <c r="K60" s="389">
        <f t="shared" si="16"/>
        <v>0</v>
      </c>
      <c r="L60" s="390">
        <f t="shared" ref="L60:M60" si="17">SUM(L61:L63)</f>
        <v>0</v>
      </c>
      <c r="M60" s="391">
        <f t="shared" si="17"/>
        <v>0</v>
      </c>
      <c r="N60" s="39"/>
    </row>
    <row r="61" spans="1:14">
      <c r="A61" s="39"/>
      <c r="B61" s="597" t="str">
        <f>"52"</f>
        <v>52</v>
      </c>
      <c r="C61" s="263" t="s">
        <v>91</v>
      </c>
      <c r="D61" s="355" t="str">
        <f>'Tab.G2.1-3'!$D$106</f>
        <v>[szt.]</v>
      </c>
      <c r="E61" s="392"/>
      <c r="F61" s="393"/>
      <c r="G61" s="393"/>
      <c r="H61" s="393"/>
      <c r="I61" s="393"/>
      <c r="J61" s="393"/>
      <c r="K61" s="393"/>
      <c r="L61" s="394"/>
      <c r="M61" s="379">
        <f t="shared" ref="M61:M66" si="18">SUM(E61:L61)</f>
        <v>0</v>
      </c>
      <c r="N61" s="39"/>
    </row>
    <row r="62" spans="1:14">
      <c r="A62" s="39"/>
      <c r="B62" s="598" t="str">
        <f>"53"</f>
        <v>53</v>
      </c>
      <c r="C62" s="265" t="s">
        <v>92</v>
      </c>
      <c r="D62" s="356" t="str">
        <f>'Tab.G2.1-3'!$D$106</f>
        <v>[szt.]</v>
      </c>
      <c r="E62" s="395"/>
      <c r="F62" s="396"/>
      <c r="G62" s="396"/>
      <c r="H62" s="396"/>
      <c r="I62" s="396"/>
      <c r="J62" s="396"/>
      <c r="K62" s="396"/>
      <c r="L62" s="397"/>
      <c r="M62" s="383">
        <f t="shared" si="18"/>
        <v>0</v>
      </c>
      <c r="N62" s="39"/>
    </row>
    <row r="63" spans="1:14">
      <c r="A63" s="39"/>
      <c r="B63" s="599" t="str">
        <f>"54"</f>
        <v>54</v>
      </c>
      <c r="C63" s="272" t="s">
        <v>93</v>
      </c>
      <c r="D63" s="357" t="str">
        <f>'Tab.G2.1-3'!$D$106</f>
        <v>[szt.]</v>
      </c>
      <c r="E63" s="398"/>
      <c r="F63" s="399"/>
      <c r="G63" s="399"/>
      <c r="H63" s="399"/>
      <c r="I63" s="399"/>
      <c r="J63" s="399"/>
      <c r="K63" s="399"/>
      <c r="L63" s="400"/>
      <c r="M63" s="387">
        <f t="shared" si="18"/>
        <v>0</v>
      </c>
      <c r="N63" s="39"/>
    </row>
    <row r="64" spans="1:14">
      <c r="A64" s="39"/>
      <c r="B64" s="604" t="str">
        <f>"55"</f>
        <v>55</v>
      </c>
      <c r="C64" s="344" t="s">
        <v>199</v>
      </c>
      <c r="D64" s="361" t="str">
        <f>'Tab.G2.1-3'!$D$106</f>
        <v>[szt.]</v>
      </c>
      <c r="E64" s="401"/>
      <c r="F64" s="402"/>
      <c r="G64" s="402"/>
      <c r="H64" s="402"/>
      <c r="I64" s="402"/>
      <c r="J64" s="402"/>
      <c r="K64" s="402"/>
      <c r="L64" s="403"/>
      <c r="M64" s="404">
        <f t="shared" si="18"/>
        <v>0</v>
      </c>
      <c r="N64" s="39"/>
    </row>
    <row r="65" spans="1:14">
      <c r="A65" s="39"/>
      <c r="B65" s="604" t="str">
        <f>"56"</f>
        <v>56</v>
      </c>
      <c r="C65" s="344" t="s">
        <v>200</v>
      </c>
      <c r="D65" s="361" t="str">
        <f>'Tab.G2.1-3'!$D$106</f>
        <v>[szt.]</v>
      </c>
      <c r="E65" s="401"/>
      <c r="F65" s="402"/>
      <c r="G65" s="402"/>
      <c r="H65" s="402"/>
      <c r="I65" s="402"/>
      <c r="J65" s="402"/>
      <c r="K65" s="402"/>
      <c r="L65" s="403"/>
      <c r="M65" s="404">
        <f t="shared" si="18"/>
        <v>0</v>
      </c>
      <c r="N65" s="39"/>
    </row>
    <row r="66" spans="1:14" ht="15.6" thickBot="1">
      <c r="A66" s="39"/>
      <c r="B66" s="370" t="str">
        <f>"57"</f>
        <v>57</v>
      </c>
      <c r="C66" s="346" t="s">
        <v>195</v>
      </c>
      <c r="D66" s="362" t="str">
        <f>'Tab.G2.1-3'!$D$106</f>
        <v>[szt.]</v>
      </c>
      <c r="E66" s="405"/>
      <c r="F66" s="406"/>
      <c r="G66" s="406"/>
      <c r="H66" s="406"/>
      <c r="I66" s="406"/>
      <c r="J66" s="406"/>
      <c r="K66" s="406"/>
      <c r="L66" s="407"/>
      <c r="M66" s="408">
        <f t="shared" si="18"/>
        <v>0</v>
      </c>
      <c r="N66" s="39"/>
    </row>
    <row r="67" spans="1:14" ht="15.6" thickBot="1">
      <c r="A67" s="39"/>
      <c r="B67" s="561" t="str">
        <f>"58"</f>
        <v>58</v>
      </c>
      <c r="C67" s="556" t="s">
        <v>130</v>
      </c>
      <c r="D67" s="562" t="str">
        <f>'Tab.G2.1-3'!$D$106</f>
        <v>[szt.]</v>
      </c>
      <c r="E67" s="558">
        <f t="shared" ref="E67:M67" si="19">SUM(E68:E72)</f>
        <v>0</v>
      </c>
      <c r="F67" s="563">
        <f t="shared" si="19"/>
        <v>0</v>
      </c>
      <c r="G67" s="563">
        <f t="shared" si="19"/>
        <v>0</v>
      </c>
      <c r="H67" s="563">
        <f t="shared" si="19"/>
        <v>0</v>
      </c>
      <c r="I67" s="563">
        <f t="shared" si="19"/>
        <v>0</v>
      </c>
      <c r="J67" s="563">
        <f t="shared" si="19"/>
        <v>0</v>
      </c>
      <c r="K67" s="563">
        <f t="shared" si="19"/>
        <v>0</v>
      </c>
      <c r="L67" s="564">
        <f t="shared" si="19"/>
        <v>0</v>
      </c>
      <c r="M67" s="371">
        <f t="shared" si="19"/>
        <v>0</v>
      </c>
      <c r="N67" s="39"/>
    </row>
    <row r="68" spans="1:14">
      <c r="A68" s="39"/>
      <c r="B68" s="605" t="str">
        <f>"59"</f>
        <v>59</v>
      </c>
      <c r="C68" s="343" t="s">
        <v>131</v>
      </c>
      <c r="D68" s="363" t="str">
        <f>'Tab.G2.1-3'!$D$106</f>
        <v>[szt.]</v>
      </c>
      <c r="E68" s="409"/>
      <c r="F68" s="410"/>
      <c r="G68" s="410"/>
      <c r="H68" s="410"/>
      <c r="I68" s="410"/>
      <c r="J68" s="410"/>
      <c r="K68" s="410"/>
      <c r="L68" s="411"/>
      <c r="M68" s="412">
        <f t="shared" ref="M68:M73" si="20">SUM(E68:L68)</f>
        <v>0</v>
      </c>
      <c r="N68" s="39"/>
    </row>
    <row r="69" spans="1:14">
      <c r="A69" s="39"/>
      <c r="B69" s="606" t="str">
        <f>"60"</f>
        <v>60</v>
      </c>
      <c r="C69" s="266" t="s">
        <v>132</v>
      </c>
      <c r="D69" s="364" t="str">
        <f>'Tab.G2.1-3'!$D$106</f>
        <v>[szt.]</v>
      </c>
      <c r="E69" s="377"/>
      <c r="F69" s="413"/>
      <c r="G69" s="413"/>
      <c r="H69" s="413"/>
      <c r="I69" s="413"/>
      <c r="J69" s="413"/>
      <c r="K69" s="413"/>
      <c r="L69" s="414"/>
      <c r="M69" s="379">
        <f t="shared" si="20"/>
        <v>0</v>
      </c>
      <c r="N69" s="39"/>
    </row>
    <row r="70" spans="1:14">
      <c r="A70" s="39"/>
      <c r="B70" s="607" t="str">
        <f>"61"</f>
        <v>61</v>
      </c>
      <c r="C70" s="339" t="s">
        <v>133</v>
      </c>
      <c r="D70" s="365" t="str">
        <f>'Tab.G2.1-3'!$D$106</f>
        <v>[szt.]</v>
      </c>
      <c r="E70" s="385"/>
      <c r="F70" s="415"/>
      <c r="G70" s="415"/>
      <c r="H70" s="415"/>
      <c r="I70" s="415"/>
      <c r="J70" s="415"/>
      <c r="K70" s="415"/>
      <c r="L70" s="416"/>
      <c r="M70" s="387">
        <f t="shared" si="20"/>
        <v>0</v>
      </c>
      <c r="N70" s="39"/>
    </row>
    <row r="71" spans="1:14">
      <c r="A71" s="39"/>
      <c r="B71" s="608" t="str">
        <f>"62"</f>
        <v>62</v>
      </c>
      <c r="C71" s="344" t="s">
        <v>134</v>
      </c>
      <c r="D71" s="366" t="str">
        <f>'Tab.G2.1-3'!$D$106</f>
        <v>[szt.]</v>
      </c>
      <c r="E71" s="417"/>
      <c r="F71" s="402"/>
      <c r="G71" s="402"/>
      <c r="H71" s="402"/>
      <c r="I71" s="402"/>
      <c r="J71" s="402"/>
      <c r="K71" s="402"/>
      <c r="L71" s="403"/>
      <c r="M71" s="404">
        <f t="shared" si="20"/>
        <v>0</v>
      </c>
      <c r="N71" s="39"/>
    </row>
    <row r="72" spans="1:14">
      <c r="A72" s="39"/>
      <c r="B72" s="608" t="str">
        <f>"63"</f>
        <v>63</v>
      </c>
      <c r="C72" s="344" t="s">
        <v>135</v>
      </c>
      <c r="D72" s="366" t="str">
        <f>'Tab.G2.1-3'!$D$106</f>
        <v>[szt.]</v>
      </c>
      <c r="E72" s="417"/>
      <c r="F72" s="402"/>
      <c r="G72" s="402"/>
      <c r="H72" s="402"/>
      <c r="I72" s="402"/>
      <c r="J72" s="402"/>
      <c r="K72" s="402"/>
      <c r="L72" s="403"/>
      <c r="M72" s="404">
        <f t="shared" si="20"/>
        <v>0</v>
      </c>
      <c r="N72" s="39"/>
    </row>
    <row r="73" spans="1:14" ht="15.6" thickBot="1">
      <c r="A73" s="39"/>
      <c r="B73" s="370" t="str">
        <f>"64"</f>
        <v>64</v>
      </c>
      <c r="C73" s="346" t="s">
        <v>136</v>
      </c>
      <c r="D73" s="367" t="str">
        <f>'Tab.G2.1-3'!$D$106</f>
        <v>[szt.]</v>
      </c>
      <c r="E73" s="418"/>
      <c r="F73" s="418"/>
      <c r="G73" s="418"/>
      <c r="H73" s="418"/>
      <c r="I73" s="418"/>
      <c r="J73" s="418"/>
      <c r="K73" s="418"/>
      <c r="L73" s="419"/>
      <c r="M73" s="408">
        <f t="shared" si="20"/>
        <v>0</v>
      </c>
      <c r="N73" s="39"/>
    </row>
    <row r="74" spans="1:14">
      <c r="A74" s="39"/>
      <c r="B74" s="39"/>
      <c r="C74" s="39"/>
      <c r="D74" s="39"/>
      <c r="E74" s="39"/>
      <c r="F74" s="39"/>
      <c r="G74" s="39"/>
      <c r="H74" s="39"/>
      <c r="I74" s="39"/>
      <c r="J74" s="39"/>
      <c r="K74" s="39"/>
      <c r="L74" s="39"/>
      <c r="M74" s="39"/>
      <c r="N74" s="39"/>
    </row>
    <row r="75" spans="1:14" ht="9" customHeight="1">
      <c r="A75" s="39"/>
      <c r="B75" s="46"/>
      <c r="C75" s="47"/>
      <c r="D75" s="47"/>
      <c r="E75" s="48"/>
      <c r="F75" s="46"/>
      <c r="G75" s="39"/>
      <c r="H75" s="39"/>
      <c r="I75" s="39"/>
      <c r="J75" s="39"/>
      <c r="K75" s="39"/>
      <c r="L75" s="39"/>
      <c r="M75" s="39"/>
      <c r="N75" s="39"/>
    </row>
    <row r="76" spans="1:14">
      <c r="A76" s="39"/>
      <c r="B76" s="39"/>
      <c r="C76" s="49"/>
      <c r="D76" s="39"/>
      <c r="E76" s="39"/>
      <c r="F76" s="39"/>
      <c r="G76" s="39"/>
      <c r="H76" s="39"/>
      <c r="I76" s="39"/>
      <c r="J76" s="39"/>
      <c r="K76" s="39"/>
      <c r="L76" s="39"/>
      <c r="M76" s="39"/>
      <c r="N76" s="39"/>
    </row>
    <row r="77" spans="1:14">
      <c r="A77" s="959"/>
      <c r="B77" s="959"/>
      <c r="C77" s="959"/>
      <c r="D77" s="959"/>
      <c r="E77" s="959"/>
      <c r="F77" s="959"/>
      <c r="G77" s="959"/>
      <c r="H77" s="959"/>
      <c r="I77" s="959"/>
      <c r="J77" s="959"/>
      <c r="K77" s="959"/>
      <c r="L77" s="959"/>
      <c r="M77" s="959"/>
      <c r="N77" s="959"/>
    </row>
    <row r="78" spans="1:14">
      <c r="A78" s="959"/>
      <c r="B78" s="959"/>
      <c r="C78" s="959"/>
      <c r="D78" s="959"/>
      <c r="E78" s="959"/>
      <c r="F78" s="959"/>
      <c r="G78" s="959"/>
      <c r="H78" s="959"/>
      <c r="I78" s="959"/>
      <c r="J78" s="959"/>
      <c r="K78" s="959"/>
      <c r="L78" s="959"/>
      <c r="M78" s="959"/>
      <c r="N78" s="959"/>
    </row>
  </sheetData>
  <mergeCells count="6">
    <mergeCell ref="C3:J3"/>
    <mergeCell ref="C10:D10"/>
    <mergeCell ref="E7:L7"/>
    <mergeCell ref="M7:M9"/>
    <mergeCell ref="B7:B9"/>
    <mergeCell ref="C7:D9"/>
  </mergeCells>
  <phoneticPr fontId="0" type="noConversion"/>
  <hyperlinks>
    <hyperlink ref="C1" location="Spis!B55" display="&gt;&gt; powrót do spisu treści" xr:uid="{00000000-0004-0000-1D00-000000000000}"/>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9">
    <pageSetUpPr fitToPage="1"/>
  </sheetPr>
  <dimension ref="A1:H34"/>
  <sheetViews>
    <sheetView zoomScaleNormal="100" zoomScaleSheetLayoutView="75" workbookViewId="0">
      <pane ySplit="4" topLeftCell="A5" activePane="bottomLeft" state="frozen"/>
      <selection pane="bottomLeft"/>
    </sheetView>
  </sheetViews>
  <sheetFormatPr defaultColWidth="8.90625" defaultRowHeight="15"/>
  <cols>
    <col min="1" max="1" width="3.81640625" style="464" customWidth="1"/>
    <col min="2" max="2" width="4.81640625" style="464" customWidth="1"/>
    <col min="3" max="3" width="60.81640625" style="464" customWidth="1"/>
    <col min="4" max="4" width="8.81640625" style="464" customWidth="1"/>
    <col min="5" max="7" width="15.81640625" style="464" customWidth="1"/>
    <col min="8" max="9" width="15.36328125" style="464" customWidth="1"/>
    <col min="10" max="13" width="11.90625" style="464" customWidth="1"/>
    <col min="14" max="16384" width="8.90625" style="464"/>
  </cols>
  <sheetData>
    <row r="1" spans="1:8">
      <c r="A1" s="970"/>
      <c r="B1" s="20"/>
      <c r="C1" s="946" t="s">
        <v>10</v>
      </c>
      <c r="D1" s="20"/>
      <c r="E1" s="20"/>
      <c r="F1" s="20"/>
      <c r="G1" s="20"/>
      <c r="H1" s="20"/>
    </row>
    <row r="2" spans="1:8" ht="9.9" customHeight="1">
      <c r="A2" s="970"/>
      <c r="B2" s="20"/>
      <c r="C2" s="465"/>
      <c r="D2" s="20"/>
      <c r="E2" s="20"/>
      <c r="F2" s="20"/>
      <c r="G2" s="20"/>
      <c r="H2" s="20"/>
    </row>
    <row r="3" spans="1:8" ht="15" customHeight="1">
      <c r="A3" s="970"/>
      <c r="B3" s="851" t="s">
        <v>14</v>
      </c>
      <c r="C3" s="971" t="str">
        <f>"W kolumnie [05] należy podać wartość netto majątku na koniec "&amp;Rok_ZPR&amp;" r."</f>
        <v>W kolumnie [05] należy podać wartość netto majątku na koniec 2020 r.</v>
      </c>
      <c r="D3" s="20"/>
      <c r="E3" s="20"/>
      <c r="F3" s="20"/>
      <c r="G3" s="20"/>
      <c r="H3" s="20"/>
    </row>
    <row r="4" spans="1:8" ht="9.9" customHeight="1">
      <c r="A4" s="970"/>
      <c r="B4" s="20"/>
      <c r="C4" s="465"/>
      <c r="D4" s="20"/>
      <c r="E4" s="20"/>
      <c r="F4" s="20"/>
      <c r="G4" s="20"/>
      <c r="H4" s="20"/>
    </row>
    <row r="5" spans="1:8" ht="30" customHeight="1" thickBot="1">
      <c r="A5" s="970"/>
      <c r="B5" s="787" t="s">
        <v>201</v>
      </c>
      <c r="D5" s="20"/>
      <c r="E5" s="20"/>
      <c r="F5" s="20"/>
      <c r="G5" s="20"/>
      <c r="H5" s="20"/>
    </row>
    <row r="6" spans="1:8" ht="20.100000000000001" customHeight="1">
      <c r="A6" s="970"/>
      <c r="B6" s="1148" t="str">
        <f>'Tab.G1.1-4'!$B$8</f>
        <v>LP</v>
      </c>
      <c r="C6" s="1150" t="str">
        <f>'Tab.G1.1-4'!$C$8</f>
        <v>Wyszczególnienie</v>
      </c>
      <c r="D6" s="1152" t="str">
        <f>"Ilość"</f>
        <v>Ilość</v>
      </c>
      <c r="E6" s="1153"/>
      <c r="F6" s="1156" t="str">
        <f>"Wartość"</f>
        <v>Wartość</v>
      </c>
      <c r="G6" s="1157"/>
      <c r="H6" s="20"/>
    </row>
    <row r="7" spans="1:8" ht="20.100000000000001" customHeight="1">
      <c r="A7" s="970"/>
      <c r="B7" s="1149"/>
      <c r="C7" s="1151"/>
      <c r="D7" s="1154"/>
      <c r="E7" s="1155"/>
      <c r="F7" s="471" t="str">
        <f>"początkowa"</f>
        <v>początkowa</v>
      </c>
      <c r="G7" s="472" t="str">
        <f>"netto"</f>
        <v>netto</v>
      </c>
      <c r="H7" s="20"/>
    </row>
    <row r="8" spans="1:8" ht="20.100000000000001" customHeight="1">
      <c r="A8" s="970"/>
      <c r="B8" s="1149"/>
      <c r="C8" s="1151"/>
      <c r="D8" s="1154"/>
      <c r="E8" s="1155"/>
      <c r="F8" s="565" t="str">
        <f>'Tab.G1.1-4'!$D$11</f>
        <v>[tys. zł]</v>
      </c>
      <c r="G8" s="566" t="str">
        <f>'Tab.G1.1-4'!$D$11</f>
        <v>[tys. zł]</v>
      </c>
      <c r="H8" s="20"/>
    </row>
    <row r="9" spans="1:8" ht="15.6" thickBot="1">
      <c r="A9" s="970"/>
      <c r="B9" s="612" t="str">
        <f>Tab.G17!$B$10</f>
        <v>01</v>
      </c>
      <c r="C9" s="621" t="str">
        <f>Tab.G17!$B$11</f>
        <v>02</v>
      </c>
      <c r="D9" s="1147" t="str">
        <f>Tab.G17!$B$12</f>
        <v>03</v>
      </c>
      <c r="E9" s="1014"/>
      <c r="F9" s="622" t="str">
        <f t="array" ref="F9:G9">TRANSPOSE(Tab.G17!$B$13:$B$14)</f>
        <v>04</v>
      </c>
      <c r="G9" s="621" t="str">
        <v>05</v>
      </c>
      <c r="H9" s="20"/>
    </row>
    <row r="10" spans="1:8" ht="15.6" thickBot="1">
      <c r="A10" s="970"/>
      <c r="B10" s="613" t="str">
        <f t="array" ref="B10:B31">Tab.G17!$B$11:$B$32</f>
        <v>02</v>
      </c>
      <c r="C10" s="567" t="s">
        <v>202</v>
      </c>
      <c r="D10" s="468" t="str">
        <f>'Tab.G2.1-3'!$D$72</f>
        <v>[km]</v>
      </c>
      <c r="E10" s="489">
        <f>SUM(E11:E14)</f>
        <v>0</v>
      </c>
      <c r="F10" s="492">
        <f>SUM(F11:F14)</f>
        <v>0</v>
      </c>
      <c r="G10" s="493">
        <f>SUM(G11:G14)</f>
        <v>0</v>
      </c>
      <c r="H10" s="20"/>
    </row>
    <row r="11" spans="1:8" ht="16.5" customHeight="1">
      <c r="A11" s="970"/>
      <c r="B11" s="614" t="str">
        <v>03</v>
      </c>
      <c r="C11" s="568" t="s">
        <v>203</v>
      </c>
      <c r="D11" s="469" t="str">
        <f>'Tab.G2.1-3'!$D$72</f>
        <v>[km]</v>
      </c>
      <c r="E11" s="490">
        <f>Tab.G17!M12</f>
        <v>0</v>
      </c>
      <c r="F11" s="494"/>
      <c r="G11" s="495"/>
      <c r="H11" s="20"/>
    </row>
    <row r="12" spans="1:8">
      <c r="A12" s="970"/>
      <c r="B12" s="615" t="str">
        <v>04</v>
      </c>
      <c r="C12" s="569" t="s">
        <v>125</v>
      </c>
      <c r="D12" s="467" t="str">
        <f>'Tab.G2.1-3'!$D$72</f>
        <v>[km]</v>
      </c>
      <c r="E12" s="491">
        <f>Tab.G17!M23</f>
        <v>0</v>
      </c>
      <c r="F12" s="496"/>
      <c r="G12" s="497"/>
      <c r="H12" s="20"/>
    </row>
    <row r="13" spans="1:8">
      <c r="A13" s="970"/>
      <c r="B13" s="615" t="str">
        <v>05</v>
      </c>
      <c r="C13" s="569" t="s">
        <v>172</v>
      </c>
      <c r="D13" s="467" t="str">
        <f>'Tab.G2.1-3'!$D$72</f>
        <v>[km]</v>
      </c>
      <c r="E13" s="491">
        <f>Tab.G17!M39</f>
        <v>0</v>
      </c>
      <c r="F13" s="496"/>
      <c r="G13" s="497"/>
      <c r="H13" s="20"/>
    </row>
    <row r="14" spans="1:8" ht="15.6" thickBot="1">
      <c r="A14" s="970"/>
      <c r="B14" s="616" t="str">
        <v>06</v>
      </c>
      <c r="C14" s="570" t="s">
        <v>194</v>
      </c>
      <c r="D14" s="467" t="str">
        <f>'Tab.G2.1-3'!$D$72</f>
        <v>[km]</v>
      </c>
      <c r="E14" s="491">
        <f>Tab.G17!M40</f>
        <v>0</v>
      </c>
      <c r="F14" s="496"/>
      <c r="G14" s="497"/>
      <c r="H14" s="20"/>
    </row>
    <row r="15" spans="1:8" ht="15.6" thickBot="1">
      <c r="A15" s="970"/>
      <c r="B15" s="617" t="str">
        <v>07</v>
      </c>
      <c r="C15" s="571" t="s">
        <v>204</v>
      </c>
      <c r="D15" s="468" t="str">
        <f>'Tab.G2.1-3'!$D$106</f>
        <v>[szt.]</v>
      </c>
      <c r="E15" s="483">
        <f>SUM(E16:E21)</f>
        <v>0</v>
      </c>
      <c r="F15" s="492">
        <f>SUM(F16:F21)</f>
        <v>0</v>
      </c>
      <c r="G15" s="493">
        <f>SUM(G16:G21)</f>
        <v>0</v>
      </c>
      <c r="H15" s="20"/>
    </row>
    <row r="16" spans="1:8">
      <c r="A16" s="970"/>
      <c r="B16" s="614" t="str">
        <v>08</v>
      </c>
      <c r="C16" s="572" t="s">
        <v>196</v>
      </c>
      <c r="D16" s="466" t="str">
        <f>'Tab.G2.1-3'!$D$106</f>
        <v>[szt.]</v>
      </c>
      <c r="E16" s="484">
        <f>Tab.G17!M52</f>
        <v>0</v>
      </c>
      <c r="F16" s="498"/>
      <c r="G16" s="499"/>
      <c r="H16" s="20"/>
    </row>
    <row r="17" spans="1:8">
      <c r="A17" s="970"/>
      <c r="B17" s="615" t="str">
        <v>09</v>
      </c>
      <c r="C17" s="570" t="s">
        <v>197</v>
      </c>
      <c r="D17" s="467" t="str">
        <f>'Tab.G2.1-3'!$D$106</f>
        <v>[szt.]</v>
      </c>
      <c r="E17" s="485">
        <f>Tab.G17!M56</f>
        <v>0</v>
      </c>
      <c r="F17" s="496"/>
      <c r="G17" s="497"/>
      <c r="H17" s="20"/>
    </row>
    <row r="18" spans="1:8">
      <c r="A18" s="970"/>
      <c r="B18" s="615" t="str">
        <v>10</v>
      </c>
      <c r="C18" s="570" t="s">
        <v>198</v>
      </c>
      <c r="D18" s="467" t="str">
        <f>'Tab.G2.1-3'!$D$106</f>
        <v>[szt.]</v>
      </c>
      <c r="E18" s="485">
        <f>Tab.G17!M60</f>
        <v>0</v>
      </c>
      <c r="F18" s="496"/>
      <c r="G18" s="497"/>
      <c r="H18" s="20"/>
    </row>
    <row r="19" spans="1:8">
      <c r="A19" s="970"/>
      <c r="B19" s="615" t="str">
        <v>11</v>
      </c>
      <c r="C19" s="570" t="s">
        <v>199</v>
      </c>
      <c r="D19" s="467" t="str">
        <f>'Tab.G2.1-3'!$D$106</f>
        <v>[szt.]</v>
      </c>
      <c r="E19" s="485">
        <f>Tab.G17!M64</f>
        <v>0</v>
      </c>
      <c r="F19" s="496"/>
      <c r="G19" s="497"/>
      <c r="H19" s="20"/>
    </row>
    <row r="20" spans="1:8">
      <c r="A20" s="970"/>
      <c r="B20" s="615" t="str">
        <v>12</v>
      </c>
      <c r="C20" s="570" t="s">
        <v>200</v>
      </c>
      <c r="D20" s="467" t="str">
        <f>'Tab.G2.1-3'!$D$106</f>
        <v>[szt.]</v>
      </c>
      <c r="E20" s="485">
        <f>Tab.G17!M65</f>
        <v>0</v>
      </c>
      <c r="F20" s="496"/>
      <c r="G20" s="497"/>
      <c r="H20" s="20"/>
    </row>
    <row r="21" spans="1:8" ht="15.6" thickBot="1">
      <c r="A21" s="970"/>
      <c r="B21" s="616" t="str">
        <v>13</v>
      </c>
      <c r="C21" s="570" t="s">
        <v>195</v>
      </c>
      <c r="D21" s="467" t="str">
        <f>'Tab.G2.1-3'!$D$106</f>
        <v>[szt.]</v>
      </c>
      <c r="E21" s="485">
        <f>Tab.G17!M66</f>
        <v>0</v>
      </c>
      <c r="F21" s="496"/>
      <c r="G21" s="497"/>
      <c r="H21" s="20"/>
    </row>
    <row r="22" spans="1:8" ht="15.6" thickBot="1">
      <c r="A22" s="970"/>
      <c r="B22" s="617" t="str">
        <v>14</v>
      </c>
      <c r="C22" s="573" t="s">
        <v>205</v>
      </c>
      <c r="D22" s="470" t="str">
        <f>'Tab.G2.1-3'!$D$106</f>
        <v>[szt.]</v>
      </c>
      <c r="E22" s="486">
        <f>SUM(E23:E26)</f>
        <v>0</v>
      </c>
      <c r="F22" s="492">
        <f>SUM(F23:F26)</f>
        <v>0</v>
      </c>
      <c r="G22" s="493">
        <f>SUM(G23:G26)</f>
        <v>0</v>
      </c>
      <c r="H22" s="20"/>
    </row>
    <row r="23" spans="1:8">
      <c r="A23" s="970"/>
      <c r="B23" s="614" t="str">
        <v>15</v>
      </c>
      <c r="C23" s="574" t="s">
        <v>131</v>
      </c>
      <c r="D23" s="481" t="str">
        <f>'Tab.G2.1-3'!$D$106</f>
        <v>[szt.]</v>
      </c>
      <c r="E23" s="487">
        <f>Tab.G17!M68</f>
        <v>0</v>
      </c>
      <c r="F23" s="500"/>
      <c r="G23" s="501"/>
      <c r="H23" s="20"/>
    </row>
    <row r="24" spans="1:8">
      <c r="A24" s="970"/>
      <c r="B24" s="615" t="str">
        <v>16</v>
      </c>
      <c r="C24" s="572" t="s">
        <v>134</v>
      </c>
      <c r="D24" s="466" t="str">
        <f>'Tab.G2.1-3'!$D$106</f>
        <v>[szt.]</v>
      </c>
      <c r="E24" s="484">
        <f>Tab.G17!M71</f>
        <v>0</v>
      </c>
      <c r="F24" s="498"/>
      <c r="G24" s="499"/>
      <c r="H24" s="20"/>
    </row>
    <row r="25" spans="1:8">
      <c r="A25" s="970"/>
      <c r="B25" s="615" t="str">
        <v>17</v>
      </c>
      <c r="C25" s="572" t="s">
        <v>135</v>
      </c>
      <c r="D25" s="466" t="str">
        <f>'Tab.G2.1-3'!$D$106</f>
        <v>[szt.]</v>
      </c>
      <c r="E25" s="484">
        <f>Tab.G17!M72</f>
        <v>0</v>
      </c>
      <c r="F25" s="498"/>
      <c r="G25" s="499"/>
      <c r="H25" s="20"/>
    </row>
    <row r="26" spans="1:8" ht="15.6" thickBot="1">
      <c r="A26" s="970"/>
      <c r="B26" s="616" t="str">
        <v>18</v>
      </c>
      <c r="C26" s="575" t="s">
        <v>136</v>
      </c>
      <c r="D26" s="482" t="str">
        <f>'Tab.G2.1-3'!$D$106</f>
        <v>[szt.]</v>
      </c>
      <c r="E26" s="488">
        <f>Tab.G17!M73</f>
        <v>0</v>
      </c>
      <c r="F26" s="502"/>
      <c r="G26" s="503"/>
      <c r="H26" s="20"/>
    </row>
    <row r="27" spans="1:8" ht="15.6" thickBot="1">
      <c r="A27" s="970"/>
      <c r="B27" s="618" t="str">
        <v>19</v>
      </c>
      <c r="C27" s="576" t="s">
        <v>45</v>
      </c>
      <c r="D27" s="473"/>
      <c r="E27" s="474"/>
      <c r="F27" s="504">
        <f>SUM(F10,F15,F22)</f>
        <v>0</v>
      </c>
      <c r="G27" s="504">
        <f>SUM(G10,G15,G22)</f>
        <v>0</v>
      </c>
      <c r="H27" s="20"/>
    </row>
    <row r="28" spans="1:8" ht="36.75" customHeight="1" thickTop="1" thickBot="1">
      <c r="A28" s="970"/>
      <c r="B28" s="619" t="str">
        <v>20</v>
      </c>
      <c r="C28" s="577" t="s">
        <v>206</v>
      </c>
      <c r="D28" s="475"/>
      <c r="E28" s="476"/>
      <c r="F28" s="505"/>
      <c r="G28" s="506"/>
      <c r="H28" s="20"/>
    </row>
    <row r="29" spans="1:8" ht="15.75" customHeight="1" thickBot="1">
      <c r="A29" s="970"/>
      <c r="B29" s="618" t="str">
        <v>21</v>
      </c>
      <c r="C29" s="576" t="s">
        <v>211</v>
      </c>
      <c r="D29" s="477"/>
      <c r="E29" s="478"/>
      <c r="F29" s="504">
        <f>SUM(F27:F28)</f>
        <v>0</v>
      </c>
      <c r="G29" s="507">
        <f>SUM(G27:G28)</f>
        <v>0</v>
      </c>
      <c r="H29" s="20"/>
    </row>
    <row r="30" spans="1:8" ht="35.1" customHeight="1" thickTop="1" thickBot="1">
      <c r="A30" s="970"/>
      <c r="B30" s="619" t="str">
        <v>22</v>
      </c>
      <c r="C30" s="578" t="s">
        <v>267</v>
      </c>
      <c r="D30" s="475"/>
      <c r="E30" s="476"/>
      <c r="F30" s="508"/>
      <c r="G30" s="509"/>
      <c r="H30" s="20"/>
    </row>
    <row r="31" spans="1:8" ht="15.6" thickBot="1">
      <c r="A31" s="970"/>
      <c r="B31" s="620" t="str">
        <v>23</v>
      </c>
      <c r="C31" s="579" t="s">
        <v>212</v>
      </c>
      <c r="D31" s="479"/>
      <c r="E31" s="480"/>
      <c r="F31" s="510">
        <f>SUM(F29:F30)</f>
        <v>0</v>
      </c>
      <c r="G31" s="511">
        <f>SUM(G29:G30)</f>
        <v>0</v>
      </c>
      <c r="H31" s="20"/>
    </row>
    <row r="32" spans="1:8">
      <c r="A32" s="970"/>
      <c r="B32" s="20"/>
      <c r="C32" s="20"/>
      <c r="D32" s="20"/>
      <c r="E32" s="20"/>
      <c r="F32" s="20"/>
      <c r="G32" s="20"/>
      <c r="H32" s="20"/>
    </row>
    <row r="33" spans="1:8">
      <c r="A33" s="970"/>
      <c r="B33" s="20"/>
      <c r="C33" s="20"/>
      <c r="D33" s="20"/>
      <c r="E33" s="20"/>
      <c r="F33" s="20"/>
      <c r="G33" s="20"/>
      <c r="H33" s="20"/>
    </row>
    <row r="34" spans="1:8">
      <c r="A34" s="970"/>
      <c r="B34" s="20"/>
      <c r="C34" s="20"/>
      <c r="D34" s="20"/>
      <c r="E34" s="20"/>
      <c r="F34" s="20"/>
      <c r="G34" s="20"/>
      <c r="H34" s="20"/>
    </row>
  </sheetData>
  <mergeCells count="5">
    <mergeCell ref="D9:E9"/>
    <mergeCell ref="B6:B8"/>
    <mergeCell ref="C6:C8"/>
    <mergeCell ref="D6:E8"/>
    <mergeCell ref="F6:G6"/>
  </mergeCells>
  <phoneticPr fontId="0" type="noConversion"/>
  <hyperlinks>
    <hyperlink ref="C1" location="Spis!B56" display="&gt;&gt; powrót do spisu treści" xr:uid="{00000000-0004-0000-1E00-000000000000}"/>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0">
    <pageSetUpPr fitToPage="1"/>
  </sheetPr>
  <dimension ref="A1:H55"/>
  <sheetViews>
    <sheetView zoomScaleNormal="100" zoomScaleSheetLayoutView="75" workbookViewId="0">
      <pane ySplit="3" topLeftCell="A4" activePane="bottomLeft" state="frozen"/>
      <selection pane="bottomLeft"/>
    </sheetView>
  </sheetViews>
  <sheetFormatPr defaultColWidth="8.90625" defaultRowHeight="13.2"/>
  <cols>
    <col min="1" max="1" width="3.81640625" style="34" customWidth="1"/>
    <col min="2" max="2" width="4.81640625" style="34" customWidth="1"/>
    <col min="3" max="3" width="20.81640625" style="34" customWidth="1"/>
    <col min="4" max="4" width="35.81640625" style="34" customWidth="1"/>
    <col min="5" max="5" width="10.81640625" style="34" customWidth="1"/>
    <col min="6" max="6" width="15.81640625" style="34" customWidth="1"/>
    <col min="7" max="16384" width="8.90625" style="34"/>
  </cols>
  <sheetData>
    <row r="1" spans="1:8" ht="15">
      <c r="A1" s="766"/>
      <c r="C1" s="947" t="s">
        <v>10</v>
      </c>
      <c r="D1" s="766"/>
      <c r="E1" s="766"/>
      <c r="F1" s="766"/>
      <c r="G1" s="766"/>
      <c r="H1" s="766"/>
    </row>
    <row r="2" spans="1:8" ht="9.9" customHeight="1">
      <c r="A2" s="766"/>
      <c r="B2" s="766"/>
      <c r="C2" s="890"/>
      <c r="D2" s="972"/>
      <c r="E2" s="972"/>
      <c r="F2" s="973"/>
      <c r="G2" s="766"/>
      <c r="H2" s="766"/>
    </row>
    <row r="3" spans="1:8" ht="50.1" customHeight="1">
      <c r="A3" s="766"/>
      <c r="B3" s="850" t="s">
        <v>14</v>
      </c>
      <c r="C3" s="1081" t="s">
        <v>109</v>
      </c>
      <c r="D3" s="1162"/>
      <c r="E3" s="1162"/>
      <c r="F3" s="1162"/>
      <c r="G3" s="766"/>
      <c r="H3" s="766"/>
    </row>
    <row r="4" spans="1:8" ht="30" customHeight="1" thickBot="1">
      <c r="A4" s="766"/>
      <c r="B4" s="783" t="s">
        <v>209</v>
      </c>
      <c r="C4" s="974"/>
      <c r="D4" s="974"/>
      <c r="E4" s="974"/>
      <c r="F4" s="974"/>
      <c r="G4" s="766"/>
      <c r="H4" s="766"/>
    </row>
    <row r="5" spans="1:8" ht="20.100000000000001" customHeight="1" thickTop="1">
      <c r="A5" s="33"/>
      <c r="B5" s="1168" t="str">
        <f>'Tab.G1.1-4'!$B$8</f>
        <v>LP</v>
      </c>
      <c r="C5" s="1170" t="str">
        <f>'Tab.G1.1-4'!$C$8</f>
        <v>Wyszczególnienie</v>
      </c>
      <c r="D5" s="1171"/>
      <c r="E5" s="1166" t="s">
        <v>46</v>
      </c>
      <c r="F5" s="547" t="str">
        <f>'Tab.G1.1-4'!$E$8</f>
        <v>Wykonanie</v>
      </c>
      <c r="G5" s="33"/>
      <c r="H5" s="33"/>
    </row>
    <row r="6" spans="1:8" ht="20.100000000000001" customHeight="1">
      <c r="A6" s="33"/>
      <c r="B6" s="1169"/>
      <c r="C6" s="1172"/>
      <c r="D6" s="1172"/>
      <c r="E6" s="1167"/>
      <c r="F6" s="548">
        <f>Rok_ZPR</f>
        <v>2020</v>
      </c>
      <c r="G6" s="33"/>
      <c r="H6" s="33"/>
    </row>
    <row r="7" spans="1:8" ht="13.8" thickBot="1">
      <c r="A7" s="33"/>
      <c r="B7" s="549" t="str">
        <f>Tab.G17!$B$10</f>
        <v>01</v>
      </c>
      <c r="C7" s="1164" t="str">
        <f>Tab.G17!$B$11</f>
        <v>02</v>
      </c>
      <c r="D7" s="1165"/>
      <c r="E7" s="624" t="str">
        <f t="array" ref="E7:F7">TRANSPOSE(Tab.G17!$B$12:$B$13)</f>
        <v>03</v>
      </c>
      <c r="F7" s="625" t="str">
        <v>04</v>
      </c>
      <c r="G7" s="33"/>
      <c r="H7" s="33"/>
    </row>
    <row r="8" spans="1:8" ht="16.2" thickBot="1">
      <c r="A8" s="33"/>
      <c r="B8" s="623" t="str">
        <f t="array" ref="B8:B39">Tab.G17!$B$11:$B$42</f>
        <v>02</v>
      </c>
      <c r="C8" s="1161" t="s">
        <v>47</v>
      </c>
      <c r="D8" s="1163"/>
      <c r="E8" s="539" t="str">
        <f>'Tab.G2.1-3'!$D$106</f>
        <v>[szt.]</v>
      </c>
      <c r="F8" s="519">
        <f>SUM(F9:F15)</f>
        <v>0</v>
      </c>
      <c r="G8" s="33"/>
      <c r="H8" s="33"/>
    </row>
    <row r="9" spans="1:8" ht="15">
      <c r="A9" s="33"/>
      <c r="B9" s="530" t="str">
        <v>03</v>
      </c>
      <c r="C9" s="1158" t="s">
        <v>48</v>
      </c>
      <c r="D9" s="522" t="s">
        <v>113</v>
      </c>
      <c r="E9" s="540" t="str">
        <f>'Tab.G2.1-3'!$D$106</f>
        <v>[szt.]</v>
      </c>
      <c r="F9" s="517"/>
      <c r="G9" s="33"/>
      <c r="H9" s="33"/>
    </row>
    <row r="10" spans="1:8" ht="15.6" thickBot="1">
      <c r="A10" s="33"/>
      <c r="B10" s="531" t="str">
        <v>04</v>
      </c>
      <c r="C10" s="1160"/>
      <c r="D10" s="523" t="s">
        <v>9</v>
      </c>
      <c r="E10" s="541" t="str">
        <f>'Tab.G2.1-3'!$D$106</f>
        <v>[szt.]</v>
      </c>
      <c r="F10" s="516"/>
      <c r="G10" s="33"/>
      <c r="H10" s="33"/>
    </row>
    <row r="11" spans="1:8" ht="16.8">
      <c r="A11" s="33"/>
      <c r="B11" s="530" t="str">
        <v>05</v>
      </c>
      <c r="C11" s="1158" t="s">
        <v>49</v>
      </c>
      <c r="D11" s="524" t="s">
        <v>95</v>
      </c>
      <c r="E11" s="540" t="str">
        <f>'Tab.G2.1-3'!$D$106</f>
        <v>[szt.]</v>
      </c>
      <c r="F11" s="518"/>
      <c r="G11" s="33"/>
      <c r="H11" s="33"/>
    </row>
    <row r="12" spans="1:8" ht="16.8">
      <c r="A12" s="33"/>
      <c r="B12" s="532" t="str">
        <v>06</v>
      </c>
      <c r="C12" s="1159"/>
      <c r="D12" s="525" t="s">
        <v>96</v>
      </c>
      <c r="E12" s="542" t="str">
        <f>'Tab.G2.1-3'!$D$106</f>
        <v>[szt.]</v>
      </c>
      <c r="F12" s="514"/>
      <c r="G12" s="33"/>
      <c r="H12" s="33"/>
    </row>
    <row r="13" spans="1:8" ht="16.5" customHeight="1">
      <c r="A13" s="33"/>
      <c r="B13" s="532" t="str">
        <v>07</v>
      </c>
      <c r="C13" s="1159"/>
      <c r="D13" s="524" t="s">
        <v>208</v>
      </c>
      <c r="E13" s="542" t="str">
        <f>'Tab.G2.1-3'!$D$106</f>
        <v>[szt.]</v>
      </c>
      <c r="F13" s="514"/>
      <c r="G13" s="33"/>
      <c r="H13" s="33"/>
    </row>
    <row r="14" spans="1:8" ht="17.25" customHeight="1" thickBot="1">
      <c r="A14" s="33"/>
      <c r="B14" s="531" t="str">
        <v>08</v>
      </c>
      <c r="C14" s="1160"/>
      <c r="D14" s="525" t="s">
        <v>32</v>
      </c>
      <c r="E14" s="541" t="str">
        <f>'Tab.G2.1-3'!$D$106</f>
        <v>[szt.]</v>
      </c>
      <c r="F14" s="516"/>
      <c r="G14" s="33"/>
      <c r="H14" s="33"/>
    </row>
    <row r="15" spans="1:8" ht="15.6" thickBot="1">
      <c r="A15" s="33"/>
      <c r="B15" s="533" t="str">
        <v>09</v>
      </c>
      <c r="C15" s="526" t="s">
        <v>56</v>
      </c>
      <c r="D15" s="527" t="s">
        <v>57</v>
      </c>
      <c r="E15" s="543" t="str">
        <f>'Tab.G2.1-3'!$D$106</f>
        <v>[szt.]</v>
      </c>
      <c r="F15" s="515"/>
      <c r="G15" s="33"/>
      <c r="H15" s="33"/>
    </row>
    <row r="16" spans="1:8" ht="16.2" thickBot="1">
      <c r="A16" s="33"/>
      <c r="B16" s="534" t="str">
        <v>10</v>
      </c>
      <c r="C16" s="1161" t="s">
        <v>50</v>
      </c>
      <c r="D16" s="1163"/>
      <c r="E16" s="539" t="str">
        <f>'Tab.G2.1-3'!$D$106</f>
        <v>[szt.]</v>
      </c>
      <c r="F16" s="519">
        <f>SUM(F17:F23)</f>
        <v>0</v>
      </c>
      <c r="G16" s="33"/>
      <c r="H16" s="33"/>
    </row>
    <row r="17" spans="1:8" ht="15">
      <c r="A17" s="33"/>
      <c r="B17" s="530" t="str">
        <v>11</v>
      </c>
      <c r="C17" s="1158" t="s">
        <v>51</v>
      </c>
      <c r="D17" s="522" t="s">
        <v>113</v>
      </c>
      <c r="E17" s="540" t="str">
        <f>'Tab.G2.1-3'!$D$106</f>
        <v>[szt.]</v>
      </c>
      <c r="F17" s="512"/>
      <c r="G17" s="33"/>
      <c r="H17" s="33"/>
    </row>
    <row r="18" spans="1:8" ht="15.6" thickBot="1">
      <c r="A18" s="33"/>
      <c r="B18" s="531" t="str">
        <v>12</v>
      </c>
      <c r="C18" s="1160"/>
      <c r="D18" s="523" t="s">
        <v>9</v>
      </c>
      <c r="E18" s="544" t="str">
        <f>'Tab.G2.1-3'!$D$106</f>
        <v>[szt.]</v>
      </c>
      <c r="F18" s="513"/>
      <c r="G18" s="33"/>
      <c r="H18" s="33"/>
    </row>
    <row r="19" spans="1:8" ht="16.8">
      <c r="A19" s="33"/>
      <c r="B19" s="530" t="str">
        <v>13</v>
      </c>
      <c r="C19" s="1158" t="s">
        <v>52</v>
      </c>
      <c r="D19" s="524" t="s">
        <v>95</v>
      </c>
      <c r="E19" s="540" t="str">
        <f>'Tab.G2.1-3'!$D$106</f>
        <v>[szt.]</v>
      </c>
      <c r="F19" s="518"/>
      <c r="G19" s="33"/>
      <c r="H19" s="33"/>
    </row>
    <row r="20" spans="1:8" ht="16.8">
      <c r="A20" s="33"/>
      <c r="B20" s="532" t="str">
        <v>14</v>
      </c>
      <c r="C20" s="1159"/>
      <c r="D20" s="525" t="s">
        <v>96</v>
      </c>
      <c r="E20" s="542" t="str">
        <f>'Tab.G2.1-3'!$D$106</f>
        <v>[szt.]</v>
      </c>
      <c r="F20" s="514"/>
      <c r="G20" s="33"/>
      <c r="H20" s="33"/>
    </row>
    <row r="21" spans="1:8" ht="15">
      <c r="A21" s="33"/>
      <c r="B21" s="532" t="str">
        <v>15</v>
      </c>
      <c r="C21" s="1159"/>
      <c r="D21" s="524" t="s">
        <v>208</v>
      </c>
      <c r="E21" s="542" t="str">
        <f>'Tab.G2.1-3'!$D$106</f>
        <v>[szt.]</v>
      </c>
      <c r="F21" s="514"/>
      <c r="G21" s="33"/>
      <c r="H21" s="33"/>
    </row>
    <row r="22" spans="1:8" ht="15.6" thickBot="1">
      <c r="A22" s="33"/>
      <c r="B22" s="531" t="str">
        <v>16</v>
      </c>
      <c r="C22" s="1160"/>
      <c r="D22" s="525" t="s">
        <v>32</v>
      </c>
      <c r="E22" s="541" t="str">
        <f>'Tab.G2.1-3'!$D$106</f>
        <v>[szt.]</v>
      </c>
      <c r="F22" s="516"/>
      <c r="G22" s="33"/>
      <c r="H22" s="33"/>
    </row>
    <row r="23" spans="1:8" ht="15.6" thickBot="1">
      <c r="A23" s="33"/>
      <c r="B23" s="535" t="str">
        <v>17</v>
      </c>
      <c r="C23" s="528" t="s">
        <v>207</v>
      </c>
      <c r="D23" s="529" t="s">
        <v>57</v>
      </c>
      <c r="E23" s="545" t="str">
        <f>'Tab.G2.1-3'!$D$106</f>
        <v>[szt.]</v>
      </c>
      <c r="F23" s="520"/>
      <c r="G23" s="33"/>
      <c r="H23" s="33"/>
    </row>
    <row r="24" spans="1:8" ht="16.8" thickTop="1" thickBot="1">
      <c r="A24" s="33"/>
      <c r="B24" s="536" t="str">
        <v>18</v>
      </c>
      <c r="C24" s="1173" t="s">
        <v>53</v>
      </c>
      <c r="D24" s="1174"/>
      <c r="E24" s="546" t="str">
        <f>'Tab.G2.1-3'!$D$106</f>
        <v>[szt.]</v>
      </c>
      <c r="F24" s="521">
        <f>SUM(F25:F30)</f>
        <v>0</v>
      </c>
      <c r="G24" s="33"/>
      <c r="H24" s="33"/>
    </row>
    <row r="25" spans="1:8" ht="15">
      <c r="A25" s="33"/>
      <c r="B25" s="530" t="str">
        <v>19</v>
      </c>
      <c r="C25" s="1158" t="s">
        <v>48</v>
      </c>
      <c r="D25" s="522" t="s">
        <v>113</v>
      </c>
      <c r="E25" s="540" t="str">
        <f>'Tab.G2.1-3'!$D$106</f>
        <v>[szt.]</v>
      </c>
      <c r="F25" s="517"/>
      <c r="G25" s="33"/>
      <c r="H25" s="33"/>
    </row>
    <row r="26" spans="1:8" ht="15.6" thickBot="1">
      <c r="A26" s="33"/>
      <c r="B26" s="531" t="str">
        <v>20</v>
      </c>
      <c r="C26" s="1160"/>
      <c r="D26" s="523" t="s">
        <v>9</v>
      </c>
      <c r="E26" s="541" t="str">
        <f>'Tab.G2.1-3'!$D$106</f>
        <v>[szt.]</v>
      </c>
      <c r="F26" s="516"/>
      <c r="G26" s="33"/>
      <c r="H26" s="33"/>
    </row>
    <row r="27" spans="1:8" ht="16.8">
      <c r="A27" s="33"/>
      <c r="B27" s="530" t="str">
        <v>21</v>
      </c>
      <c r="C27" s="1158" t="s">
        <v>49</v>
      </c>
      <c r="D27" s="524" t="s">
        <v>95</v>
      </c>
      <c r="E27" s="540" t="str">
        <f>'Tab.G2.1-3'!$D$106</f>
        <v>[szt.]</v>
      </c>
      <c r="F27" s="518"/>
      <c r="G27" s="33"/>
      <c r="H27" s="33"/>
    </row>
    <row r="28" spans="1:8" ht="16.8">
      <c r="A28" s="33"/>
      <c r="B28" s="532" t="str">
        <v>22</v>
      </c>
      <c r="C28" s="1159"/>
      <c r="D28" s="525" t="s">
        <v>96</v>
      </c>
      <c r="E28" s="542" t="str">
        <f>'Tab.G2.1-3'!$D$106</f>
        <v>[szt.]</v>
      </c>
      <c r="F28" s="514"/>
      <c r="G28" s="33"/>
      <c r="H28" s="33"/>
    </row>
    <row r="29" spans="1:8" ht="15">
      <c r="A29" s="33"/>
      <c r="B29" s="532" t="str">
        <v>23</v>
      </c>
      <c r="C29" s="1159"/>
      <c r="D29" s="524" t="s">
        <v>208</v>
      </c>
      <c r="E29" s="542" t="str">
        <f>'Tab.G2.1-3'!$D$106</f>
        <v>[szt.]</v>
      </c>
      <c r="F29" s="514"/>
      <c r="G29" s="33"/>
      <c r="H29" s="33"/>
    </row>
    <row r="30" spans="1:8" ht="15.6" thickBot="1">
      <c r="A30" s="33"/>
      <c r="B30" s="531" t="str">
        <v>24</v>
      </c>
      <c r="C30" s="1160"/>
      <c r="D30" s="525" t="s">
        <v>32</v>
      </c>
      <c r="E30" s="541" t="str">
        <f>'Tab.G2.1-3'!$D$106</f>
        <v>[szt.]</v>
      </c>
      <c r="F30" s="516"/>
      <c r="G30" s="33"/>
      <c r="H30" s="33"/>
    </row>
    <row r="31" spans="1:8" ht="15.6" thickBot="1">
      <c r="A31" s="33"/>
      <c r="B31" s="537" t="str">
        <v>25</v>
      </c>
      <c r="C31" s="526" t="s">
        <v>56</v>
      </c>
      <c r="D31" s="527" t="s">
        <v>57</v>
      </c>
      <c r="E31" s="543" t="str">
        <f>'Tab.G2.1-3'!$D$106</f>
        <v>[szt.]</v>
      </c>
      <c r="F31" s="515"/>
      <c r="G31" s="33"/>
      <c r="H31" s="33"/>
    </row>
    <row r="32" spans="1:8" ht="15.6" thickBot="1">
      <c r="A32" s="33"/>
      <c r="B32" s="534" t="str">
        <v>26</v>
      </c>
      <c r="C32" s="1161" t="s">
        <v>54</v>
      </c>
      <c r="D32" s="1161"/>
      <c r="E32" s="539" t="str">
        <f>'Tab.G2.1-3'!$D$106</f>
        <v>[szt.]</v>
      </c>
      <c r="F32" s="519">
        <f>SUM(F33:F38)</f>
        <v>0</v>
      </c>
      <c r="G32" s="33"/>
      <c r="H32" s="33"/>
    </row>
    <row r="33" spans="1:8" ht="15">
      <c r="A33" s="33"/>
      <c r="B33" s="530" t="str">
        <v>27</v>
      </c>
      <c r="C33" s="1158" t="s">
        <v>51</v>
      </c>
      <c r="D33" s="522" t="s">
        <v>113</v>
      </c>
      <c r="E33" s="540" t="str">
        <f>'Tab.G2.1-3'!$D$106</f>
        <v>[szt.]</v>
      </c>
      <c r="F33" s="512"/>
      <c r="G33" s="33"/>
      <c r="H33" s="33"/>
    </row>
    <row r="34" spans="1:8" ht="15.6" thickBot="1">
      <c r="A34" s="33"/>
      <c r="B34" s="531" t="str">
        <v>28</v>
      </c>
      <c r="C34" s="1160"/>
      <c r="D34" s="523" t="s">
        <v>9</v>
      </c>
      <c r="E34" s="544" t="str">
        <f>'Tab.G2.1-3'!$D$106</f>
        <v>[szt.]</v>
      </c>
      <c r="F34" s="513"/>
      <c r="G34" s="33"/>
      <c r="H34" s="33"/>
    </row>
    <row r="35" spans="1:8" ht="16.8">
      <c r="A35" s="33"/>
      <c r="B35" s="530" t="str">
        <v>29</v>
      </c>
      <c r="C35" s="1158" t="s">
        <v>52</v>
      </c>
      <c r="D35" s="524" t="s">
        <v>95</v>
      </c>
      <c r="E35" s="540" t="str">
        <f>'Tab.G2.1-3'!$D$106</f>
        <v>[szt.]</v>
      </c>
      <c r="F35" s="518"/>
      <c r="G35" s="33"/>
      <c r="H35" s="33"/>
    </row>
    <row r="36" spans="1:8" ht="16.8">
      <c r="A36" s="33"/>
      <c r="B36" s="532" t="str">
        <v>30</v>
      </c>
      <c r="C36" s="1159"/>
      <c r="D36" s="525" t="s">
        <v>96</v>
      </c>
      <c r="E36" s="542" t="str">
        <f>'Tab.G2.1-3'!$D$106</f>
        <v>[szt.]</v>
      </c>
      <c r="F36" s="514"/>
      <c r="G36" s="33"/>
      <c r="H36" s="33"/>
    </row>
    <row r="37" spans="1:8" ht="15">
      <c r="A37" s="33"/>
      <c r="B37" s="532" t="str">
        <v>31</v>
      </c>
      <c r="C37" s="1159"/>
      <c r="D37" s="524" t="s">
        <v>208</v>
      </c>
      <c r="E37" s="542" t="str">
        <f>'Tab.G2.1-3'!$D$106</f>
        <v>[szt.]</v>
      </c>
      <c r="F37" s="514"/>
      <c r="G37" s="33"/>
      <c r="H37" s="33"/>
    </row>
    <row r="38" spans="1:8" ht="15.6" thickBot="1">
      <c r="A38" s="33"/>
      <c r="B38" s="531" t="str">
        <v>32</v>
      </c>
      <c r="C38" s="1160"/>
      <c r="D38" s="525" t="s">
        <v>32</v>
      </c>
      <c r="E38" s="541" t="str">
        <f>'Tab.G2.1-3'!$D$106</f>
        <v>[szt.]</v>
      </c>
      <c r="F38" s="516"/>
      <c r="G38" s="33"/>
      <c r="H38" s="33"/>
    </row>
    <row r="39" spans="1:8" ht="15.6" thickBot="1">
      <c r="A39" s="33"/>
      <c r="B39" s="538" t="str">
        <v>33</v>
      </c>
      <c r="C39" s="528" t="s">
        <v>207</v>
      </c>
      <c r="D39" s="529" t="s">
        <v>57</v>
      </c>
      <c r="E39" s="545" t="str">
        <f>'Tab.G2.1-3'!$D$106</f>
        <v>[szt.]</v>
      </c>
      <c r="F39" s="520"/>
      <c r="G39" s="33"/>
      <c r="H39" s="33"/>
    </row>
    <row r="40" spans="1:8" ht="13.8" thickTop="1">
      <c r="A40" s="766"/>
      <c r="B40" s="766"/>
      <c r="C40" s="766"/>
      <c r="D40" s="766"/>
      <c r="E40" s="766"/>
      <c r="F40" s="766"/>
      <c r="G40" s="766"/>
      <c r="H40" s="766"/>
    </row>
    <row r="41" spans="1:8" ht="15">
      <c r="A41" s="766"/>
      <c r="B41" s="709"/>
      <c r="C41" s="709"/>
      <c r="D41" s="709"/>
      <c r="E41" s="709"/>
      <c r="F41" s="709"/>
      <c r="G41" s="709"/>
      <c r="H41" s="766"/>
    </row>
    <row r="42" spans="1:8" ht="30" customHeight="1" thickBot="1">
      <c r="A42" s="766"/>
      <c r="B42" s="975" t="s">
        <v>210</v>
      </c>
      <c r="C42" s="766"/>
      <c r="D42" s="766"/>
      <c r="E42" s="766"/>
      <c r="F42" s="766"/>
      <c r="G42" s="766"/>
      <c r="H42" s="766"/>
    </row>
    <row r="43" spans="1:8" ht="18" customHeight="1" thickTop="1">
      <c r="A43" s="766"/>
      <c r="B43" s="1181" t="str">
        <f>'Tab.G1.1-4'!$B$8</f>
        <v>LP</v>
      </c>
      <c r="C43" s="1183" t="str">
        <f>'Tab.G1.1-4'!$C$8</f>
        <v>Wyszczególnienie</v>
      </c>
      <c r="D43" s="1184"/>
      <c r="E43" s="1185"/>
      <c r="F43" s="584" t="str">
        <f>'Tab.G1.1-4'!$E$8</f>
        <v>Wykonanie</v>
      </c>
      <c r="G43" s="766"/>
      <c r="H43" s="766"/>
    </row>
    <row r="44" spans="1:8" ht="18" customHeight="1">
      <c r="A44" s="766"/>
      <c r="B44" s="1182"/>
      <c r="C44" s="1186"/>
      <c r="D44" s="1186"/>
      <c r="E44" s="1187"/>
      <c r="F44" s="585">
        <f>Rok_ZPR</f>
        <v>2020</v>
      </c>
      <c r="G44" s="766"/>
      <c r="H44" s="766"/>
    </row>
    <row r="45" spans="1:8" ht="13.8" thickBot="1">
      <c r="A45" s="766"/>
      <c r="B45" s="626" t="str">
        <f t="array" ref="B45:B52">Tab.G17!$B$10:$B$17</f>
        <v>01</v>
      </c>
      <c r="C45" s="1188" t="str">
        <f>Tab.G17!$B$11</f>
        <v>02</v>
      </c>
      <c r="D45" s="1189"/>
      <c r="E45" s="1190"/>
      <c r="F45" s="631" t="str">
        <f>Tab.G17!$B$12</f>
        <v>03</v>
      </c>
      <c r="G45" s="766"/>
      <c r="H45" s="766"/>
    </row>
    <row r="46" spans="1:8" ht="14.25" customHeight="1">
      <c r="A46" s="766"/>
      <c r="B46" s="627" t="str">
        <v>02</v>
      </c>
      <c r="C46" s="1191" t="str">
        <f>"Uszkodzenia mechaniczne"</f>
        <v>Uszkodzenia mechaniczne</v>
      </c>
      <c r="D46" s="1192"/>
      <c r="E46" s="582" t="s">
        <v>228</v>
      </c>
      <c r="F46" s="580"/>
      <c r="G46" s="766"/>
      <c r="H46" s="766"/>
    </row>
    <row r="47" spans="1:8" ht="13.8">
      <c r="A47" s="766"/>
      <c r="B47" s="628" t="str">
        <v>03</v>
      </c>
      <c r="C47" s="1193" t="str">
        <f>" - w tym spowodowane przez strony trzecie"</f>
        <v xml:space="preserve"> - w tym spowodowane przez strony trzecie</v>
      </c>
      <c r="D47" s="1194"/>
      <c r="E47" s="583" t="s">
        <v>228</v>
      </c>
      <c r="F47" s="581"/>
      <c r="G47" s="766"/>
      <c r="H47" s="766"/>
    </row>
    <row r="48" spans="1:8" ht="14.25" customHeight="1">
      <c r="A48" s="766"/>
      <c r="B48" s="628" t="str">
        <v>04</v>
      </c>
      <c r="C48" s="1175" t="str">
        <f>"Korozja rurociągów"</f>
        <v>Korozja rurociągów</v>
      </c>
      <c r="D48" s="1176"/>
      <c r="E48" s="583" t="s">
        <v>228</v>
      </c>
      <c r="F48" s="581"/>
      <c r="G48" s="766"/>
      <c r="H48" s="766"/>
    </row>
    <row r="49" spans="1:8" ht="13.8">
      <c r="A49" s="766"/>
      <c r="B49" s="628" t="str">
        <v>05</v>
      </c>
      <c r="C49" s="1175" t="str">
        <f>"Pęknięcia spoin / rozszczelnienia połączeń"</f>
        <v>Pęknięcia spoin / rozszczelnienia połączeń</v>
      </c>
      <c r="D49" s="1176"/>
      <c r="E49" s="583" t="s">
        <v>228</v>
      </c>
      <c r="F49" s="581"/>
      <c r="G49" s="766"/>
      <c r="H49" s="766"/>
    </row>
    <row r="50" spans="1:8" ht="13.8">
      <c r="A50" s="766"/>
      <c r="B50" s="628" t="str">
        <v>06</v>
      </c>
      <c r="C50" s="1175" t="str">
        <f>"Nieszczelność armatury"</f>
        <v>Nieszczelność armatury</v>
      </c>
      <c r="D50" s="1176"/>
      <c r="E50" s="583" t="s">
        <v>228</v>
      </c>
      <c r="F50" s="581"/>
      <c r="G50" s="766"/>
      <c r="H50" s="766"/>
    </row>
    <row r="51" spans="1:8" ht="14.4" thickBot="1">
      <c r="A51" s="766"/>
      <c r="B51" s="629" t="str">
        <v>07</v>
      </c>
      <c r="C51" s="1177" t="str">
        <f>"Pozostałe"</f>
        <v>Pozostałe</v>
      </c>
      <c r="D51" s="1178"/>
      <c r="E51" s="586" t="s">
        <v>228</v>
      </c>
      <c r="F51" s="587"/>
      <c r="G51" s="766"/>
      <c r="H51" s="766"/>
    </row>
    <row r="52" spans="1:8" ht="14.4" thickBot="1">
      <c r="A52" s="766"/>
      <c r="B52" s="630" t="str">
        <v>08</v>
      </c>
      <c r="C52" s="1179" t="str">
        <f>"Razem"</f>
        <v>Razem</v>
      </c>
      <c r="D52" s="1180"/>
      <c r="E52" s="588" t="s">
        <v>228</v>
      </c>
      <c r="F52" s="589"/>
      <c r="G52" s="766"/>
      <c r="H52" s="766"/>
    </row>
    <row r="53" spans="1:8" ht="13.8" thickTop="1">
      <c r="A53" s="766"/>
      <c r="B53" s="766"/>
      <c r="C53" s="766"/>
      <c r="D53" s="766"/>
      <c r="E53" s="766"/>
      <c r="F53" s="766"/>
      <c r="G53" s="766"/>
      <c r="H53" s="766"/>
    </row>
    <row r="54" spans="1:8">
      <c r="A54" s="766"/>
      <c r="B54" s="766"/>
      <c r="C54" s="766"/>
      <c r="D54" s="766"/>
      <c r="E54" s="766"/>
      <c r="F54" s="766"/>
      <c r="G54" s="766"/>
      <c r="H54" s="766"/>
    </row>
    <row r="55" spans="1:8">
      <c r="A55" s="766"/>
      <c r="B55" s="766"/>
      <c r="C55" s="766"/>
      <c r="D55" s="766"/>
      <c r="E55" s="766"/>
      <c r="F55" s="766"/>
      <c r="G55" s="766"/>
      <c r="H55" s="766"/>
    </row>
  </sheetData>
  <mergeCells count="27">
    <mergeCell ref="C49:D49"/>
    <mergeCell ref="C50:D50"/>
    <mergeCell ref="C51:D51"/>
    <mergeCell ref="C52:D52"/>
    <mergeCell ref="B43:B44"/>
    <mergeCell ref="C43:E44"/>
    <mergeCell ref="C45:E45"/>
    <mergeCell ref="C46:D46"/>
    <mergeCell ref="C47:D47"/>
    <mergeCell ref="C48:D48"/>
    <mergeCell ref="C24:D24"/>
    <mergeCell ref="C9:C10"/>
    <mergeCell ref="C11:C14"/>
    <mergeCell ref="C17:C18"/>
    <mergeCell ref="C19:C22"/>
    <mergeCell ref="C16:D16"/>
    <mergeCell ref="C3:F3"/>
    <mergeCell ref="C8:D8"/>
    <mergeCell ref="C7:D7"/>
    <mergeCell ref="E5:E6"/>
    <mergeCell ref="B5:B6"/>
    <mergeCell ref="C5:D6"/>
    <mergeCell ref="C35:C38"/>
    <mergeCell ref="C32:D32"/>
    <mergeCell ref="C25:C26"/>
    <mergeCell ref="C27:C30"/>
    <mergeCell ref="C33:C34"/>
  </mergeCells>
  <phoneticPr fontId="0" type="noConversion"/>
  <hyperlinks>
    <hyperlink ref="C1" location="Spis!B58" display="&gt;&gt; powrót do spisu treści" xr:uid="{00000000-0004-0000-1F00-000000000000}"/>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26"/>
  <dimension ref="A1:J33"/>
  <sheetViews>
    <sheetView zoomScale="90" zoomScaleNormal="90" workbookViewId="0">
      <pane ySplit="4" topLeftCell="A5" activePane="bottomLeft" state="frozen"/>
      <selection pane="bottomLeft"/>
    </sheetView>
  </sheetViews>
  <sheetFormatPr defaultColWidth="8.90625" defaultRowHeight="15"/>
  <cols>
    <col min="1" max="1" width="3.81640625" style="745" customWidth="1"/>
    <col min="2" max="2" width="9.81640625" style="745" customWidth="1"/>
    <col min="3" max="3" width="20.81640625" style="745" customWidth="1"/>
    <col min="4" max="4" width="4.81640625" style="745" customWidth="1"/>
    <col min="5" max="5" width="10.81640625" style="745" customWidth="1"/>
    <col min="6" max="9" width="15.81640625" style="745" customWidth="1"/>
    <col min="10" max="16384" width="8.90625" style="745"/>
  </cols>
  <sheetData>
    <row r="1" spans="1:10">
      <c r="A1" s="766"/>
      <c r="B1" s="1195" t="s">
        <v>10</v>
      </c>
      <c r="C1" s="1196"/>
      <c r="D1" s="1196"/>
      <c r="E1" s="1196"/>
      <c r="F1" s="1196"/>
      <c r="G1" s="1196"/>
      <c r="H1" s="1196"/>
      <c r="I1" s="1196"/>
      <c r="J1" s="693"/>
    </row>
    <row r="2" spans="1:10">
      <c r="A2" s="693"/>
      <c r="B2" s="693"/>
      <c r="C2" s="693"/>
      <c r="D2" s="693"/>
      <c r="E2" s="693"/>
      <c r="F2" s="693"/>
      <c r="G2" s="693"/>
      <c r="H2" s="693"/>
      <c r="I2" s="693"/>
      <c r="J2" s="693"/>
    </row>
    <row r="3" spans="1:10">
      <c r="A3" s="693"/>
      <c r="B3" s="693"/>
      <c r="C3" s="693"/>
      <c r="D3" s="693"/>
      <c r="E3" s="693"/>
      <c r="F3" s="693"/>
      <c r="G3" s="693"/>
      <c r="H3" s="693"/>
      <c r="I3" s="693"/>
      <c r="J3" s="693"/>
    </row>
    <row r="4" spans="1:10">
      <c r="A4" s="693"/>
      <c r="B4" s="693"/>
      <c r="C4" s="693"/>
      <c r="D4" s="693"/>
      <c r="E4" s="693"/>
      <c r="F4" s="693"/>
      <c r="G4" s="693"/>
      <c r="H4" s="693"/>
      <c r="I4" s="693"/>
      <c r="J4" s="693"/>
    </row>
    <row r="5" spans="1:10" ht="30" customHeight="1" thickBot="1">
      <c r="A5" s="693"/>
      <c r="B5" s="783" t="str">
        <f>"Tabela G20. Przerwy w dystrybucji paliw gazowych w roku sprawozdawczym "&amp;Rok_ZPR</f>
        <v>Tabela G20. Przerwy w dystrybucji paliw gazowych w roku sprawozdawczym 2020</v>
      </c>
      <c r="C5" s="693"/>
      <c r="D5" s="693"/>
      <c r="E5" s="693"/>
      <c r="F5" s="693"/>
      <c r="G5" s="693"/>
      <c r="H5" s="693"/>
      <c r="I5" s="693"/>
      <c r="J5" s="693"/>
    </row>
    <row r="6" spans="1:10" ht="20.100000000000001" customHeight="1">
      <c r="A6" s="693"/>
      <c r="B6" s="1207" t="str">
        <f>"RODZAJ PRZERW"</f>
        <v>RODZAJ PRZERW</v>
      </c>
      <c r="C6" s="1209" t="str">
        <f>'Tab.G1.1-4'!$C$8</f>
        <v>Wyszczególnienie</v>
      </c>
      <c r="D6" s="1210"/>
      <c r="E6" s="1213" t="str">
        <f>"JEDNOSTKA"</f>
        <v>JEDNOSTKA</v>
      </c>
      <c r="F6" s="1215" t="str">
        <f>"Rodzaj gazu"</f>
        <v>Rodzaj gazu</v>
      </c>
      <c r="G6" s="1216"/>
      <c r="H6" s="1217"/>
      <c r="I6" s="1199" t="str">
        <f>"Razem"</f>
        <v>Razem</v>
      </c>
      <c r="J6" s="693"/>
    </row>
    <row r="7" spans="1:10" ht="20.100000000000001" customHeight="1">
      <c r="A7" s="693"/>
      <c r="B7" s="1208"/>
      <c r="C7" s="1211"/>
      <c r="D7" s="1212"/>
      <c r="E7" s="1214" t="s">
        <v>229</v>
      </c>
      <c r="F7" s="746" t="str">
        <f>"E¹"</f>
        <v>E¹</v>
      </c>
      <c r="G7" s="747" t="str">
        <f>"Lw²"</f>
        <v>Lw²</v>
      </c>
      <c r="H7" s="748" t="str">
        <f>"Ls³"</f>
        <v>Ls³</v>
      </c>
      <c r="I7" s="1200"/>
      <c r="J7" s="693"/>
    </row>
    <row r="8" spans="1:10" ht="14.1" customHeight="1" thickBot="1">
      <c r="A8" s="693"/>
      <c r="B8" s="774" t="str">
        <f>Tab.G17!$B$10</f>
        <v>01</v>
      </c>
      <c r="C8" s="1206" t="str">
        <f>Tab.G17!$B$11</f>
        <v>02</v>
      </c>
      <c r="D8" s="1206"/>
      <c r="E8" s="775" t="str">
        <f t="array" ref="E8:I8">TRANSPOSE(Tab.G17!$B$12:$B$16)</f>
        <v>03</v>
      </c>
      <c r="F8" s="776" t="str">
        <v>04</v>
      </c>
      <c r="G8" s="777" t="str">
        <v>05</v>
      </c>
      <c r="H8" s="778" t="str">
        <v>06</v>
      </c>
      <c r="I8" s="779" t="str">
        <v>07</v>
      </c>
      <c r="J8" s="693"/>
    </row>
    <row r="9" spans="1:10" ht="20.100000000000001" customHeight="1">
      <c r="A9" s="693"/>
      <c r="B9" s="1201" t="s">
        <v>219</v>
      </c>
      <c r="C9" s="749" t="str">
        <f>"Czas przerw (Tᵣ)"</f>
        <v>Czas przerw (Tᵣ)</v>
      </c>
      <c r="D9" s="780" t="str">
        <f t="array" ref="D9:D14">Tab.G17!$B$10:$B$15</f>
        <v>01</v>
      </c>
      <c r="E9" s="582" t="str">
        <f>"[h]"</f>
        <v>[h]</v>
      </c>
      <c r="F9" s="750"/>
      <c r="G9" s="751"/>
      <c r="H9" s="752"/>
      <c r="I9" s="753">
        <f>SUM(F9:H9)</f>
        <v>0</v>
      </c>
      <c r="J9" s="693"/>
    </row>
    <row r="10" spans="1:10" ht="20.100000000000001" customHeight="1">
      <c r="A10" s="693"/>
      <c r="B10" s="1202"/>
      <c r="C10" s="756" t="str">
        <f>"Ilość odbiorców (N₀)"</f>
        <v>Ilość odbiorców (N₀)</v>
      </c>
      <c r="D10" s="781" t="str">
        <v>02</v>
      </c>
      <c r="E10" s="757" t="str">
        <f>'Tab.G2.1-3'!$D$106</f>
        <v>[szt.]</v>
      </c>
      <c r="F10" s="758"/>
      <c r="G10" s="759"/>
      <c r="H10" s="760"/>
      <c r="I10" s="754">
        <f>SUM(F10:H10)</f>
        <v>0</v>
      </c>
      <c r="J10" s="693"/>
    </row>
    <row r="11" spans="1:10" ht="20.100000000000001" customHeight="1" thickBot="1">
      <c r="A11" s="693"/>
      <c r="B11" s="1203"/>
      <c r="C11" s="761" t="str">
        <f>"Średni czas przerw (tᵥ)"</f>
        <v>Średni czas przerw (tᵥ)</v>
      </c>
      <c r="D11" s="782" t="str">
        <v>03</v>
      </c>
      <c r="E11" s="762" t="str">
        <f>$E$9</f>
        <v>[h]</v>
      </c>
      <c r="F11" s="763" t="str">
        <f t="array" ref="F11:I11">IFERROR(F9:I9/F10:I10,"")</f>
        <v/>
      </c>
      <c r="G11" s="764" t="str">
        <v/>
      </c>
      <c r="H11" s="765" t="str">
        <v/>
      </c>
      <c r="I11" s="755" t="str">
        <v/>
      </c>
      <c r="J11" s="693"/>
    </row>
    <row r="12" spans="1:10" ht="20.100000000000001" customHeight="1">
      <c r="A12" s="693"/>
      <c r="B12" s="1204" t="s">
        <v>220</v>
      </c>
      <c r="C12" s="749" t="str">
        <f t="array" ref="C12:C14">$C$9:$C$11</f>
        <v>Czas przerw (Tᵣ)</v>
      </c>
      <c r="D12" s="780" t="str">
        <v>04</v>
      </c>
      <c r="E12" s="582" t="str">
        <f>$E$9</f>
        <v>[h]</v>
      </c>
      <c r="F12" s="750"/>
      <c r="G12" s="751"/>
      <c r="H12" s="752"/>
      <c r="I12" s="753">
        <f>SUM(F12:H12)</f>
        <v>0</v>
      </c>
      <c r="J12" s="693"/>
    </row>
    <row r="13" spans="1:10" ht="20.100000000000001" customHeight="1">
      <c r="A13" s="693"/>
      <c r="B13" s="1202"/>
      <c r="C13" s="756" t="str">
        <v>Ilość odbiorców (N₀)</v>
      </c>
      <c r="D13" s="781" t="str">
        <v>05</v>
      </c>
      <c r="E13" s="757" t="str">
        <f>'Tab.G2.1-3'!$D$106</f>
        <v>[szt.]</v>
      </c>
      <c r="F13" s="758"/>
      <c r="G13" s="759"/>
      <c r="H13" s="760"/>
      <c r="I13" s="754">
        <f>SUM(F13:H13)</f>
        <v>0</v>
      </c>
      <c r="J13" s="693"/>
    </row>
    <row r="14" spans="1:10" ht="20.100000000000001" customHeight="1" thickBot="1">
      <c r="A14" s="693"/>
      <c r="B14" s="1203"/>
      <c r="C14" s="761" t="str">
        <v>Średni czas przerw (tᵥ)</v>
      </c>
      <c r="D14" s="782" t="str">
        <v>06</v>
      </c>
      <c r="E14" s="762" t="str">
        <f>$E$9</f>
        <v>[h]</v>
      </c>
      <c r="F14" s="763" t="str">
        <f t="array" ref="F14:I14">IFERROR(F12:I12/F13:I13,"")</f>
        <v/>
      </c>
      <c r="G14" s="764" t="str">
        <v/>
      </c>
      <c r="H14" s="765" t="str">
        <v/>
      </c>
      <c r="I14" s="755" t="str">
        <v/>
      </c>
      <c r="J14" s="693"/>
    </row>
    <row r="15" spans="1:10" ht="18.899999999999999" customHeight="1">
      <c r="A15" s="693"/>
      <c r="B15" s="767"/>
      <c r="C15" s="767"/>
      <c r="D15" s="767"/>
      <c r="E15" s="767"/>
      <c r="F15" s="767"/>
      <c r="G15" s="767"/>
      <c r="H15" s="767"/>
      <c r="I15" s="767"/>
      <c r="J15" s="693"/>
    </row>
    <row r="16" spans="1:10" ht="18.899999999999999" customHeight="1">
      <c r="A16" s="693"/>
      <c r="B16" s="1197" t="str">
        <f>"Czas trwania przerw (Tᵣ) w roku sprawozdawczym należy obliczyć wg wzoru:"</f>
        <v>Czas trwania przerw (Tᵣ) w roku sprawozdawczym należy obliczyć wg wzoru:</v>
      </c>
      <c r="C16" s="1205"/>
      <c r="D16" s="1205"/>
      <c r="E16" s="1198"/>
      <c r="F16" s="767"/>
      <c r="G16" s="769" t="str">
        <f>"¹ - gaz ziemny wysokometanowy E"</f>
        <v>¹ - gaz ziemny wysokometanowy E</v>
      </c>
      <c r="H16" s="767"/>
      <c r="I16" s="767"/>
      <c r="J16" s="693"/>
    </row>
    <row r="17" spans="1:10" ht="18.899999999999999" customHeight="1">
      <c r="A17" s="693"/>
      <c r="B17" s="1205"/>
      <c r="C17" s="1205"/>
      <c r="D17" s="1205"/>
      <c r="E17" s="1198"/>
      <c r="F17" s="767"/>
      <c r="G17" s="769" t="str">
        <f>"² - gaz ziemny zaazotowany Lw"</f>
        <v>² - gaz ziemny zaazotowany Lw</v>
      </c>
      <c r="H17" s="767"/>
      <c r="I17" s="767"/>
      <c r="J17" s="693"/>
    </row>
    <row r="18" spans="1:10" ht="18.899999999999999" customHeight="1">
      <c r="A18" s="693"/>
      <c r="B18" s="769"/>
      <c r="C18" s="769"/>
      <c r="D18" s="769"/>
      <c r="E18" s="767"/>
      <c r="F18" s="767"/>
      <c r="G18" s="769" t="str">
        <f>"³ - gaz ziemny zaazotowany Ls"</f>
        <v>³ - gaz ziemny zaazotowany Ls</v>
      </c>
      <c r="H18" s="767"/>
      <c r="I18" s="767"/>
      <c r="J18" s="693"/>
    </row>
    <row r="19" spans="1:10" ht="18.899999999999999" customHeight="1">
      <c r="A19" s="693"/>
      <c r="B19" s="769"/>
      <c r="C19" s="769"/>
      <c r="D19" s="769"/>
      <c r="E19" s="767"/>
      <c r="F19" s="767"/>
      <c r="G19" s="768"/>
      <c r="H19" s="767"/>
      <c r="I19" s="767"/>
      <c r="J19" s="693"/>
    </row>
    <row r="20" spans="1:10" ht="18.899999999999999" customHeight="1">
      <c r="A20" s="693"/>
      <c r="B20" s="1197" t="str">
        <f>"Ilość odbiorców końcowych (N₀) w roku sprawozdawczym należy obliczyć wg wzoru:"</f>
        <v>Ilość odbiorców końcowych (N₀) w roku sprawozdawczym należy obliczyć wg wzoru:</v>
      </c>
      <c r="C20" s="1197"/>
      <c r="D20" s="1197"/>
      <c r="E20" s="1198"/>
      <c r="F20" s="767"/>
      <c r="G20" s="767"/>
      <c r="H20" s="767"/>
      <c r="I20" s="767"/>
      <c r="J20" s="693"/>
    </row>
    <row r="21" spans="1:10" ht="18.899999999999999" customHeight="1">
      <c r="A21" s="693"/>
      <c r="B21" s="1197"/>
      <c r="C21" s="1197"/>
      <c r="D21" s="1197"/>
      <c r="E21" s="1198"/>
      <c r="F21" s="767"/>
      <c r="G21" s="767"/>
      <c r="H21" s="767"/>
      <c r="I21" s="767"/>
      <c r="J21" s="693"/>
    </row>
    <row r="22" spans="1:10" ht="18.899999999999999" customHeight="1">
      <c r="A22" s="693"/>
      <c r="B22" s="769"/>
      <c r="C22" s="769"/>
      <c r="D22" s="769"/>
      <c r="E22" s="767"/>
      <c r="F22" s="767"/>
      <c r="G22" s="767"/>
      <c r="H22" s="767"/>
      <c r="I22" s="767"/>
      <c r="J22" s="693"/>
    </row>
    <row r="23" spans="1:10" ht="18.899999999999999" customHeight="1">
      <c r="A23" s="693"/>
      <c r="B23" s="769"/>
      <c r="C23" s="769"/>
      <c r="D23" s="769"/>
      <c r="E23" s="767"/>
      <c r="F23" s="767"/>
      <c r="G23" s="767"/>
      <c r="H23" s="767"/>
      <c r="I23" s="767"/>
      <c r="J23" s="693"/>
    </row>
    <row r="24" spans="1:10" ht="18.899999999999999" customHeight="1">
      <c r="A24" s="693"/>
      <c r="B24" s="1197" t="str">
        <f>"Średni czas przerw (tᵥ) kalkuluje się wg wzoru:"</f>
        <v>Średni czas przerw (tᵥ) kalkuluje się wg wzoru:</v>
      </c>
      <c r="C24" s="1197"/>
      <c r="D24" s="1198"/>
      <c r="E24" s="1198"/>
      <c r="F24" s="767"/>
      <c r="G24" s="767"/>
      <c r="H24" s="767"/>
      <c r="I24" s="767"/>
      <c r="J24" s="693"/>
    </row>
    <row r="25" spans="1:10" ht="18.899999999999999" customHeight="1">
      <c r="A25" s="693"/>
      <c r="B25" s="1197"/>
      <c r="C25" s="1197"/>
      <c r="D25" s="1198"/>
      <c r="E25" s="1198"/>
      <c r="F25" s="767"/>
      <c r="G25" s="767"/>
      <c r="H25" s="767"/>
      <c r="I25" s="767"/>
      <c r="J25" s="693"/>
    </row>
    <row r="26" spans="1:10" ht="18.899999999999999" customHeight="1">
      <c r="A26" s="693"/>
      <c r="B26" s="769"/>
      <c r="C26" s="769"/>
      <c r="D26" s="769"/>
      <c r="E26" s="767"/>
      <c r="F26" s="767"/>
      <c r="G26" s="767"/>
      <c r="H26" s="767"/>
      <c r="I26" s="767"/>
      <c r="J26" s="693"/>
    </row>
    <row r="27" spans="1:10" ht="18.899999999999999" customHeight="1">
      <c r="A27" s="693"/>
      <c r="B27" s="769"/>
      <c r="C27" s="769"/>
      <c r="D27" s="769"/>
      <c r="E27" s="767"/>
      <c r="F27" s="767"/>
      <c r="G27" s="767"/>
      <c r="H27" s="767"/>
      <c r="I27" s="767"/>
      <c r="J27" s="693"/>
    </row>
    <row r="28" spans="1:10" ht="18.899999999999999" customHeight="1">
      <c r="A28" s="693"/>
      <c r="B28" s="770" t="str">
        <f>"przy czym:"</f>
        <v>przy czym:</v>
      </c>
      <c r="C28" s="767"/>
      <c r="D28" s="769"/>
      <c r="E28" s="767"/>
      <c r="F28" s="767"/>
      <c r="G28" s="767"/>
      <c r="H28" s="767"/>
      <c r="I28" s="767"/>
      <c r="J28" s="693"/>
    </row>
    <row r="29" spans="1:10" ht="18.899999999999999" customHeight="1">
      <c r="A29" s="693"/>
      <c r="B29" s="772" t="str">
        <f>"tᵢ –"</f>
        <v>tᵢ –</v>
      </c>
      <c r="C29" s="773" t="str">
        <f>"czas trwania przerwy i,"</f>
        <v>czas trwania przerwy i,</v>
      </c>
      <c r="D29" s="769"/>
      <c r="E29" s="767"/>
      <c r="F29" s="767"/>
      <c r="G29" s="767"/>
      <c r="H29" s="767"/>
      <c r="I29" s="767"/>
      <c r="J29" s="693"/>
    </row>
    <row r="30" spans="1:10" ht="18.899999999999999" customHeight="1">
      <c r="A30" s="693"/>
      <c r="B30" s="772" t="str">
        <f>"nᵢ –"</f>
        <v>nᵢ –</v>
      </c>
      <c r="C30" s="771" t="str">
        <f>"ilość odbiorców końcowych, których dotyczyła przerwa i,"</f>
        <v>ilość odbiorców końcowych, których dotyczyła przerwa i,</v>
      </c>
      <c r="D30" s="769"/>
      <c r="E30" s="767"/>
      <c r="F30" s="767"/>
      <c r="G30" s="767"/>
      <c r="H30" s="767"/>
      <c r="I30" s="767"/>
      <c r="J30" s="693"/>
    </row>
    <row r="31" spans="1:10" ht="18.899999999999999" customHeight="1">
      <c r="A31" s="693"/>
      <c r="B31" s="772" t="str">
        <f>"k –"</f>
        <v>k –</v>
      </c>
      <c r="C31" s="773" t="str">
        <f>"liczba przerw w roku sprawozdawczym,"</f>
        <v>liczba przerw w roku sprawozdawczym,</v>
      </c>
      <c r="D31" s="769"/>
      <c r="E31" s="767"/>
      <c r="F31" s="767"/>
      <c r="G31" s="767"/>
      <c r="H31" s="767"/>
      <c r="I31" s="767"/>
      <c r="J31" s="693"/>
    </row>
    <row r="32" spans="1:10" ht="18.899999999999999" customHeight="1">
      <c r="A32" s="693"/>
      <c r="B32" s="772" t="str">
        <f>"N₀ –"</f>
        <v>N₀ –</v>
      </c>
      <c r="C32" s="773" t="str">
        <f>"liczba odbiorców końcowych, których dotyczyły przerwy."</f>
        <v>liczba odbiorców końcowych, których dotyczyły przerwy.</v>
      </c>
      <c r="D32" s="767"/>
      <c r="E32" s="767"/>
      <c r="F32" s="767"/>
      <c r="G32" s="767"/>
      <c r="H32" s="767"/>
      <c r="I32" s="767"/>
      <c r="J32" s="693"/>
    </row>
    <row r="33" spans="1:10">
      <c r="A33" s="693"/>
      <c r="B33" s="693"/>
      <c r="C33" s="693"/>
      <c r="D33" s="693"/>
      <c r="E33" s="693"/>
      <c r="F33" s="693"/>
      <c r="G33" s="693"/>
      <c r="H33" s="693"/>
      <c r="I33" s="693"/>
      <c r="J33" s="693"/>
    </row>
  </sheetData>
  <mergeCells count="12">
    <mergeCell ref="B1:I1"/>
    <mergeCell ref="B24:E25"/>
    <mergeCell ref="I6:I7"/>
    <mergeCell ref="B9:B11"/>
    <mergeCell ref="B12:B14"/>
    <mergeCell ref="B16:E17"/>
    <mergeCell ref="B20:E21"/>
    <mergeCell ref="C8:D8"/>
    <mergeCell ref="B6:B7"/>
    <mergeCell ref="C6:D7"/>
    <mergeCell ref="E6:E7"/>
    <mergeCell ref="F6:H6"/>
  </mergeCells>
  <hyperlinks>
    <hyperlink ref="B1" location="Spis!B59" display="&gt;&gt; powrót do spisu treści" xr:uid="{00000000-0004-0000-2000-000000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3">
    <pageSetUpPr fitToPage="1"/>
  </sheetPr>
  <dimension ref="A1:I34"/>
  <sheetViews>
    <sheetView zoomScaleNormal="75" zoomScaleSheetLayoutView="75" workbookViewId="0">
      <pane ySplit="5" topLeftCell="A6" activePane="bottomLeft" state="frozen"/>
      <selection pane="bottomLeft"/>
    </sheetView>
  </sheetViews>
  <sheetFormatPr defaultColWidth="8.90625" defaultRowHeight="13.2"/>
  <cols>
    <col min="1" max="1" width="3.81640625" style="148" customWidth="1"/>
    <col min="2" max="2" width="4.81640625" style="148" customWidth="1"/>
    <col min="3" max="3" width="60.81640625" style="148" customWidth="1"/>
    <col min="4" max="4" width="12.81640625" style="148" customWidth="1"/>
    <col min="5" max="5" width="15.81640625" style="148" customWidth="1"/>
    <col min="6" max="7" width="9.90625" style="148" customWidth="1"/>
    <col min="8" max="8" width="5.90625" style="148" customWidth="1"/>
    <col min="9" max="16384" width="8.90625" style="148"/>
  </cols>
  <sheetData>
    <row r="1" spans="1:9" s="204" customFormat="1" ht="15">
      <c r="A1" s="692"/>
      <c r="B1" s="692"/>
      <c r="C1" s="944" t="s">
        <v>10</v>
      </c>
      <c r="D1" s="812"/>
      <c r="E1" s="812"/>
      <c r="F1" s="812"/>
      <c r="G1" s="692"/>
      <c r="H1" s="692"/>
    </row>
    <row r="2" spans="1:9">
      <c r="A2" s="690"/>
      <c r="B2" s="690"/>
      <c r="C2" s="690"/>
      <c r="D2" s="690"/>
      <c r="E2" s="690"/>
      <c r="F2" s="690"/>
      <c r="G2" s="690"/>
      <c r="H2" s="690"/>
    </row>
    <row r="3" spans="1:9" ht="15" customHeight="1">
      <c r="A3" s="690"/>
      <c r="B3" s="976" t="s">
        <v>14</v>
      </c>
      <c r="C3" s="949" t="s">
        <v>55</v>
      </c>
      <c r="D3" s="690"/>
      <c r="E3" s="690"/>
      <c r="F3" s="690"/>
      <c r="G3" s="690"/>
      <c r="H3" s="690"/>
    </row>
    <row r="4" spans="1:9" ht="15" customHeight="1">
      <c r="A4" s="690"/>
      <c r="B4" s="976" t="s">
        <v>29</v>
      </c>
      <c r="C4" s="949" t="s">
        <v>63</v>
      </c>
      <c r="D4" s="690"/>
      <c r="E4" s="690"/>
      <c r="F4" s="690"/>
      <c r="G4" s="690"/>
      <c r="H4" s="690"/>
    </row>
    <row r="5" spans="1:9">
      <c r="A5" s="690"/>
      <c r="B5" s="815"/>
      <c r="C5" s="690"/>
      <c r="D5" s="690"/>
      <c r="E5" s="690"/>
      <c r="F5" s="690"/>
      <c r="G5" s="690"/>
      <c r="H5" s="690"/>
    </row>
    <row r="6" spans="1:9" s="204" customFormat="1" ht="30" customHeight="1" thickBot="1">
      <c r="A6" s="692"/>
      <c r="B6" s="783" t="s">
        <v>223</v>
      </c>
      <c r="C6" s="783"/>
      <c r="D6" s="783"/>
      <c r="E6" s="783"/>
      <c r="F6" s="783"/>
      <c r="G6" s="816"/>
      <c r="H6" s="816"/>
      <c r="I6" s="322"/>
    </row>
    <row r="7" spans="1:9" ht="20.100000000000001" customHeight="1" thickTop="1">
      <c r="A7" s="786"/>
      <c r="B7" s="1222" t="str">
        <f>'Tab.G1.1-4'!$B$8</f>
        <v>LP</v>
      </c>
      <c r="C7" s="1218" t="str">
        <f>'Tab.G1.1-4'!$C$8</f>
        <v>Wyszczególnienie</v>
      </c>
      <c r="D7" s="1219"/>
      <c r="E7" s="789" t="str">
        <f>'Tab.G1.1-4'!$E$8</f>
        <v>Wykonanie</v>
      </c>
      <c r="F7" s="277"/>
      <c r="G7" s="277"/>
      <c r="H7" s="786"/>
    </row>
    <row r="8" spans="1:9" ht="20.100000000000001" customHeight="1">
      <c r="A8" s="786"/>
      <c r="B8" s="1223"/>
      <c r="C8" s="1220"/>
      <c r="D8" s="1221"/>
      <c r="E8" s="548">
        <f>Rok_ZPR</f>
        <v>2020</v>
      </c>
      <c r="F8" s="277"/>
      <c r="G8" s="277"/>
      <c r="H8" s="786"/>
    </row>
    <row r="9" spans="1:9" ht="14.1" customHeight="1" thickBot="1">
      <c r="A9" s="786"/>
      <c r="B9" s="805" t="str">
        <f t="array" ref="B9:B31">Tab.G17!$B$10:$B$32</f>
        <v>01</v>
      </c>
      <c r="C9" s="1224" t="str">
        <f>Tab.G17!$B$11</f>
        <v>02</v>
      </c>
      <c r="D9" s="1040"/>
      <c r="E9" s="788" t="str">
        <f>Tab.G17!$B$12</f>
        <v>03</v>
      </c>
      <c r="F9" s="277"/>
      <c r="G9" s="277"/>
      <c r="H9" s="786"/>
    </row>
    <row r="10" spans="1:9" ht="18.899999999999999" customHeight="1">
      <c r="A10" s="786"/>
      <c r="B10" s="806" t="str">
        <v>02</v>
      </c>
      <c r="C10" s="802" t="s">
        <v>227</v>
      </c>
      <c r="D10" s="797" t="str">
        <f>'Tab.G2.1-3'!$D$106</f>
        <v>[szt.]</v>
      </c>
      <c r="E10" s="790"/>
      <c r="F10" s="277"/>
      <c r="G10" s="277"/>
      <c r="H10" s="786"/>
    </row>
    <row r="11" spans="1:9" ht="18.899999999999999" customHeight="1">
      <c r="A11" s="786"/>
      <c r="B11" s="807" t="str">
        <v>03</v>
      </c>
      <c r="C11" s="340" t="s">
        <v>108</v>
      </c>
      <c r="D11" s="798" t="str">
        <f>'Tab.G2.1-3'!$D$106</f>
        <v>[szt.]</v>
      </c>
      <c r="E11" s="791">
        <f>SUM(E12:E13)</f>
        <v>0</v>
      </c>
      <c r="F11" s="277"/>
      <c r="G11" s="277"/>
      <c r="H11" s="786"/>
    </row>
    <row r="12" spans="1:9" ht="18.899999999999999" customHeight="1">
      <c r="A12" s="786"/>
      <c r="B12" s="808" t="str">
        <v>04</v>
      </c>
      <c r="C12" s="803" t="str">
        <f>"- odbiorcy indywidualni (grupy taryfowe W1-W3, L1-L3, B1-B3, R1-R3)"</f>
        <v>- odbiorcy indywidualni (grupy taryfowe W1-W3, L1-L3, B1-B3, R1-R3)</v>
      </c>
      <c r="D12" s="799" t="str">
        <f>'Tab.G2.1-3'!$D$106</f>
        <v>[szt.]</v>
      </c>
      <c r="E12" s="795"/>
      <c r="F12" s="277"/>
      <c r="G12" s="277"/>
      <c r="H12" s="786"/>
    </row>
    <row r="13" spans="1:9" ht="18.899999999999999" customHeight="1">
      <c r="A13" s="786"/>
      <c r="B13" s="809" t="str">
        <v>05</v>
      </c>
      <c r="C13" s="804" t="str">
        <f>"- odbiorcy instytucjonalni (pozostałe grupy taryfowe)"</f>
        <v>- odbiorcy instytucjonalni (pozostałe grupy taryfowe)</v>
      </c>
      <c r="D13" s="800" t="str">
        <f>'Tab.G2.1-3'!$D$106</f>
        <v>[szt.]</v>
      </c>
      <c r="E13" s="796"/>
      <c r="F13" s="277"/>
      <c r="G13" s="277"/>
      <c r="H13" s="786"/>
    </row>
    <row r="14" spans="1:9" ht="18.899999999999999" customHeight="1">
      <c r="A14" s="786"/>
      <c r="B14" s="807" t="str">
        <v>06</v>
      </c>
      <c r="C14" s="340" t="s">
        <v>224</v>
      </c>
      <c r="D14" s="798" t="str">
        <f>'Tab.G2.1-3'!$D$106</f>
        <v>[szt.]</v>
      </c>
      <c r="E14" s="791"/>
      <c r="F14" s="277"/>
      <c r="G14" s="277"/>
      <c r="H14" s="786"/>
    </row>
    <row r="15" spans="1:9" ht="18.899999999999999" customHeight="1">
      <c r="A15" s="786"/>
      <c r="B15" s="808" t="str">
        <v>07</v>
      </c>
      <c r="C15" s="803" t="str">
        <f>"- gaz ziemny wysokometanowy E"</f>
        <v>- gaz ziemny wysokometanowy E</v>
      </c>
      <c r="D15" s="799" t="str">
        <f>'Tab.G2.1-3'!$D$106</f>
        <v>[szt.]</v>
      </c>
      <c r="E15" s="795"/>
      <c r="F15" s="277"/>
      <c r="G15" s="277"/>
      <c r="H15" s="786"/>
    </row>
    <row r="16" spans="1:9" ht="18.899999999999999" customHeight="1">
      <c r="A16" s="786"/>
      <c r="B16" s="809" t="str">
        <v>08</v>
      </c>
      <c r="C16" s="804" t="str">
        <f>"- gaz ziemny zaazotowany L"</f>
        <v>- gaz ziemny zaazotowany L</v>
      </c>
      <c r="D16" s="800" t="str">
        <f>'Tab.G2.1-3'!$D$106</f>
        <v>[szt.]</v>
      </c>
      <c r="E16" s="796"/>
      <c r="F16" s="277"/>
      <c r="G16" s="277"/>
      <c r="H16" s="786"/>
    </row>
    <row r="17" spans="1:8" ht="18.899999999999999" customHeight="1">
      <c r="A17" s="786"/>
      <c r="B17" s="807" t="str">
        <v>09</v>
      </c>
      <c r="C17" s="340" t="s">
        <v>225</v>
      </c>
      <c r="D17" s="798" t="str">
        <f>"[tys. m³]"</f>
        <v>[tys. m³]</v>
      </c>
      <c r="E17" s="791">
        <f>SUM(E18:E19)</f>
        <v>0</v>
      </c>
      <c r="F17" s="277"/>
      <c r="G17" s="277"/>
      <c r="H17" s="786"/>
    </row>
    <row r="18" spans="1:8" ht="18.899999999999999" customHeight="1">
      <c r="A18" s="786"/>
      <c r="B18" s="808" t="str">
        <v>10</v>
      </c>
      <c r="C18" s="803" t="str">
        <f>"- odbiorcom indywidualnym (grupy taryfowe W1-W3, L1-L3, B1-B3, R1-R3)"</f>
        <v>- odbiorcom indywidualnym (grupy taryfowe W1-W3, L1-L3, B1-B3, R1-R3)</v>
      </c>
      <c r="D18" s="799" t="str">
        <f>$D$17</f>
        <v>[tys. m³]</v>
      </c>
      <c r="E18" s="795"/>
      <c r="F18" s="277"/>
      <c r="G18" s="277"/>
      <c r="H18" s="786"/>
    </row>
    <row r="19" spans="1:8" ht="18.899999999999999" customHeight="1">
      <c r="A19" s="786"/>
      <c r="B19" s="809" t="str">
        <v>11</v>
      </c>
      <c r="C19" s="804" t="str">
        <f>"- odbiorcom instytucjonalnym (pozostałe grupy taryfowe)"</f>
        <v>- odbiorcom instytucjonalnym (pozostałe grupy taryfowe)</v>
      </c>
      <c r="D19" s="800" t="str">
        <f>$D$17</f>
        <v>[tys. m³]</v>
      </c>
      <c r="E19" s="796"/>
      <c r="F19" s="277"/>
      <c r="G19" s="277"/>
      <c r="H19" s="786"/>
    </row>
    <row r="20" spans="1:8" ht="18.899999999999999" customHeight="1">
      <c r="A20" s="786"/>
      <c r="B20" s="807" t="str">
        <v>12</v>
      </c>
      <c r="C20" s="340" t="str">
        <f>"Wolumen dystrybuowanego gazu z zagranicy"</f>
        <v>Wolumen dystrybuowanego gazu z zagranicy</v>
      </c>
      <c r="D20" s="798" t="str">
        <f>$D$17</f>
        <v>[tys. m³]</v>
      </c>
      <c r="E20" s="793"/>
      <c r="F20" s="277"/>
      <c r="G20" s="277"/>
      <c r="H20" s="786"/>
    </row>
    <row r="21" spans="1:8" ht="18.899999999999999" customHeight="1">
      <c r="A21" s="786"/>
      <c r="B21" s="807" t="str">
        <v>13</v>
      </c>
      <c r="C21" s="340" t="s">
        <v>226</v>
      </c>
      <c r="D21" s="798" t="str">
        <f>"[zł/m³]"</f>
        <v>[zł/m³]</v>
      </c>
      <c r="E21" s="793"/>
      <c r="F21" s="277"/>
      <c r="G21" s="277"/>
      <c r="H21" s="786"/>
    </row>
    <row r="22" spans="1:8" ht="18.899999999999999" customHeight="1">
      <c r="A22" s="786"/>
      <c r="B22" s="808" t="str">
        <v>14</v>
      </c>
      <c r="C22" s="803" t="str">
        <f>$C$12</f>
        <v>- odbiorcy indywidualni (grupy taryfowe W1-W3, L1-L3, B1-B3, R1-R3)</v>
      </c>
      <c r="D22" s="799" t="str">
        <f>$D$21</f>
        <v>[zł/m³]</v>
      </c>
      <c r="E22" s="795"/>
      <c r="F22" s="277"/>
      <c r="G22" s="277"/>
      <c r="H22" s="786"/>
    </row>
    <row r="23" spans="1:8" ht="18.899999999999999" customHeight="1">
      <c r="A23" s="786"/>
      <c r="B23" s="809" t="str">
        <v>15</v>
      </c>
      <c r="C23" s="804" t="str">
        <f>$C$13</f>
        <v>- odbiorcy instytucjonalni (pozostałe grupy taryfowe)</v>
      </c>
      <c r="D23" s="800" t="str">
        <f>$D$21</f>
        <v>[zł/m³]</v>
      </c>
      <c r="E23" s="796"/>
      <c r="F23" s="277"/>
      <c r="G23" s="277"/>
      <c r="H23" s="786"/>
    </row>
    <row r="24" spans="1:8" ht="18.899999999999999" customHeight="1">
      <c r="A24" s="786"/>
      <c r="B24" s="807" t="str">
        <v>16</v>
      </c>
      <c r="C24" s="340" t="str">
        <f>"Liczba wykonanych w danym roku przyłączy, zgodnie z umowami"</f>
        <v>Liczba wykonanych w danym roku przyłączy, zgodnie z umowami</v>
      </c>
      <c r="D24" s="798" t="str">
        <f>'Tab.G2.1-3'!$D$106</f>
        <v>[szt.]</v>
      </c>
      <c r="E24" s="793"/>
      <c r="F24" s="277"/>
      <c r="G24" s="277"/>
      <c r="H24" s="786"/>
    </row>
    <row r="25" spans="1:8" ht="18.899999999999999" customHeight="1">
      <c r="A25" s="786"/>
      <c r="B25" s="810" t="str">
        <v>17</v>
      </c>
      <c r="C25" s="784" t="str">
        <f>"Długość wykonanych w danym roku przyłączy"</f>
        <v>Długość wykonanych w danym roku przyłączy</v>
      </c>
      <c r="D25" s="797" t="str">
        <f>'Tab.G2.1-3'!$D$72</f>
        <v>[km]</v>
      </c>
      <c r="E25" s="792"/>
      <c r="F25" s="277"/>
      <c r="G25" s="277"/>
      <c r="H25" s="786"/>
    </row>
    <row r="26" spans="1:8" ht="18.899999999999999" customHeight="1">
      <c r="A26" s="786"/>
      <c r="B26" s="807" t="str">
        <v>18</v>
      </c>
      <c r="C26" s="340" t="str">
        <f>"Liczba podpisanych w danym roku umów o przyłączenie"</f>
        <v>Liczba podpisanych w danym roku umów o przyłączenie</v>
      </c>
      <c r="D26" s="798" t="str">
        <f>'Tab.G2.1-3'!$D$106</f>
        <v>[szt.]</v>
      </c>
      <c r="E26" s="793"/>
      <c r="F26" s="277"/>
      <c r="G26" s="277"/>
      <c r="H26" s="786"/>
    </row>
    <row r="27" spans="1:8" ht="18.899999999999999" customHeight="1">
      <c r="A27" s="786"/>
      <c r="B27" s="810" t="str">
        <v>19</v>
      </c>
      <c r="C27" s="784" t="str">
        <f>"Liczba wydanych w danym roku warunków przyłączeniowych"</f>
        <v>Liczba wydanych w danym roku warunków przyłączeniowych</v>
      </c>
      <c r="D27" s="797" t="str">
        <f>'Tab.G2.1-3'!$D$106</f>
        <v>[szt.]</v>
      </c>
      <c r="E27" s="792"/>
      <c r="F27" s="277"/>
      <c r="G27" s="277"/>
      <c r="H27" s="786"/>
    </row>
    <row r="28" spans="1:8" ht="18.899999999999999" customHeight="1">
      <c r="A28" s="786"/>
      <c r="B28" s="807" t="str">
        <v>20</v>
      </c>
      <c r="C28" s="340" t="str">
        <f>"Liczba złożonych w danym roku wniosków o przyłączenie"</f>
        <v>Liczba złożonych w danym roku wniosków o przyłączenie</v>
      </c>
      <c r="D28" s="798" t="str">
        <f>'Tab.G2.1-3'!$D$106</f>
        <v>[szt.]</v>
      </c>
      <c r="E28" s="793"/>
      <c r="F28" s="277"/>
      <c r="G28" s="277"/>
      <c r="H28" s="786"/>
    </row>
    <row r="29" spans="1:8" ht="18.899999999999999" customHeight="1">
      <c r="A29" s="786"/>
      <c r="B29" s="810" t="str">
        <v>21</v>
      </c>
      <c r="C29" s="784" t="str">
        <f>"Liczba podpisanych w danym roku umów o przyłączenie nowych źródeł"</f>
        <v>Liczba podpisanych w danym roku umów o przyłączenie nowych źródeł</v>
      </c>
      <c r="D29" s="797" t="str">
        <f>'Tab.G2.1-3'!$D$106</f>
        <v>[szt.]</v>
      </c>
      <c r="E29" s="792"/>
      <c r="F29" s="277"/>
      <c r="G29" s="277"/>
      <c r="H29" s="786"/>
    </row>
    <row r="30" spans="1:8" ht="18.899999999999999" customHeight="1">
      <c r="A30" s="786"/>
      <c r="B30" s="807" t="str">
        <v>22</v>
      </c>
      <c r="C30" s="340" t="str">
        <f>"Liczba złożonych w danym roku warunków przyłączeniowych nowych źródeł"</f>
        <v>Liczba złożonych w danym roku warunków przyłączeniowych nowych źródeł</v>
      </c>
      <c r="D30" s="798" t="str">
        <f>'Tab.G2.1-3'!$D$106</f>
        <v>[szt.]</v>
      </c>
      <c r="E30" s="793"/>
      <c r="F30" s="277"/>
      <c r="G30" s="277"/>
      <c r="H30" s="786"/>
    </row>
    <row r="31" spans="1:8" ht="18.899999999999999" customHeight="1" thickBot="1">
      <c r="B31" s="811" t="str">
        <v>23</v>
      </c>
      <c r="C31" s="785" t="str">
        <f>"Liczba złożonych w danym roku wniosków o przyłączenia nowych źródeł"</f>
        <v>Liczba złożonych w danym roku wniosków o przyłączenia nowych źródeł</v>
      </c>
      <c r="D31" s="801" t="str">
        <f>'Tab.G2.1-3'!$D$106</f>
        <v>[szt.]</v>
      </c>
      <c r="E31" s="794"/>
      <c r="F31" s="277"/>
      <c r="G31" s="277"/>
    </row>
    <row r="32" spans="1:8" ht="13.8" thickTop="1">
      <c r="A32" s="690"/>
      <c r="B32" s="690"/>
      <c r="C32" s="690"/>
      <c r="D32" s="690"/>
      <c r="E32" s="690"/>
      <c r="F32" s="690"/>
      <c r="G32" s="690"/>
      <c r="H32" s="690"/>
    </row>
    <row r="33" spans="1:8">
      <c r="A33" s="690"/>
      <c r="B33" s="690"/>
      <c r="C33" s="690"/>
      <c r="D33" s="690"/>
      <c r="E33" s="690"/>
      <c r="F33" s="690"/>
      <c r="G33" s="690"/>
      <c r="H33" s="690"/>
    </row>
    <row r="34" spans="1:8">
      <c r="A34" s="690"/>
      <c r="B34" s="690"/>
      <c r="C34" s="690"/>
      <c r="D34" s="690"/>
      <c r="E34" s="690"/>
      <c r="F34" s="690"/>
      <c r="G34" s="690"/>
      <c r="H34" s="690"/>
    </row>
  </sheetData>
  <mergeCells count="3">
    <mergeCell ref="C7:D8"/>
    <mergeCell ref="B7:B8"/>
    <mergeCell ref="C9:D9"/>
  </mergeCells>
  <phoneticPr fontId="0" type="noConversion"/>
  <hyperlinks>
    <hyperlink ref="C1" location="Spis!B3" display="&gt;&gt; powrót do spisu treści" xr:uid="{00000000-0004-0000-2100-000000000000}"/>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6"/>
  <dimension ref="A1:L192"/>
  <sheetViews>
    <sheetView zoomScale="90" zoomScaleNormal="90" workbookViewId="0">
      <pane ySplit="5" topLeftCell="A6" activePane="bottomLeft" state="frozen"/>
      <selection pane="bottomLeft" activeCell="C187" sqref="C187"/>
    </sheetView>
  </sheetViews>
  <sheetFormatPr defaultColWidth="8.90625" defaultRowHeight="13.2"/>
  <cols>
    <col min="1" max="1" width="3.81640625" style="148" customWidth="1"/>
    <col min="2" max="2" width="4.81640625" style="148" customWidth="1"/>
    <col min="3" max="3" width="66.81640625" style="148" customWidth="1"/>
    <col min="4" max="4" width="12.81640625" style="148" customWidth="1"/>
    <col min="5" max="5" width="15.81640625" style="148" customWidth="1"/>
    <col min="6" max="7" width="10.81640625" style="148" customWidth="1"/>
    <col min="8" max="16384" width="8.90625" style="148"/>
  </cols>
  <sheetData>
    <row r="1" spans="1:12" ht="18.899999999999999" customHeight="1">
      <c r="A1" s="690"/>
      <c r="B1" s="690"/>
      <c r="C1" s="943" t="str">
        <f>"&gt;&gt; powrót do spisu treści"</f>
        <v>&gt;&gt; powrót do spisu treści</v>
      </c>
      <c r="D1" s="690"/>
      <c r="E1" s="690"/>
      <c r="F1" s="690"/>
      <c r="G1" s="690"/>
      <c r="H1" s="690"/>
      <c r="I1" s="690"/>
      <c r="J1" s="690"/>
      <c r="K1" s="690"/>
    </row>
    <row r="2" spans="1:12" ht="39.9" customHeight="1">
      <c r="A2" s="690"/>
      <c r="B2" s="1005" t="s">
        <v>59</v>
      </c>
      <c r="C2" s="1006"/>
      <c r="D2" s="1006"/>
      <c r="E2" s="1006"/>
      <c r="F2" s="1006"/>
      <c r="G2" s="1006"/>
      <c r="H2" s="690"/>
      <c r="I2" s="690"/>
      <c r="J2" s="690"/>
      <c r="K2" s="690"/>
    </row>
    <row r="3" spans="1:12" ht="30" customHeight="1">
      <c r="A3" s="690"/>
      <c r="B3" s="850" t="s">
        <v>14</v>
      </c>
      <c r="C3" s="1007" t="s">
        <v>271</v>
      </c>
      <c r="D3" s="1008"/>
      <c r="E3" s="1008"/>
      <c r="F3" s="1008"/>
      <c r="G3" s="1008"/>
      <c r="H3" s="710"/>
      <c r="I3" s="710"/>
      <c r="J3" s="710"/>
      <c r="K3" s="710"/>
    </row>
    <row r="4" spans="1:12" ht="39.9" customHeight="1">
      <c r="A4" s="690"/>
      <c r="B4" s="850" t="s">
        <v>29</v>
      </c>
      <c r="C4" s="1007" t="s">
        <v>272</v>
      </c>
      <c r="D4" s="1008"/>
      <c r="E4" s="1008"/>
      <c r="F4" s="1008"/>
      <c r="G4" s="1008"/>
      <c r="H4" s="710"/>
      <c r="I4" s="710"/>
      <c r="J4" s="710"/>
      <c r="K4" s="710"/>
    </row>
    <row r="5" spans="1:12" ht="30" customHeight="1">
      <c r="A5" s="690"/>
      <c r="B5" s="850" t="s">
        <v>30</v>
      </c>
      <c r="C5" s="1007" t="s">
        <v>270</v>
      </c>
      <c r="D5" s="1008"/>
      <c r="E5" s="1008"/>
      <c r="F5" s="1008"/>
      <c r="G5" s="1008"/>
      <c r="H5" s="710"/>
      <c r="I5" s="710"/>
      <c r="J5" s="710"/>
      <c r="K5" s="710"/>
      <c r="L5"/>
    </row>
    <row r="6" spans="1:12" ht="30" customHeight="1" thickBot="1">
      <c r="A6" s="690"/>
      <c r="B6" s="700" t="s">
        <v>126</v>
      </c>
      <c r="C6" s="690"/>
      <c r="D6" s="690"/>
      <c r="E6" s="690"/>
      <c r="F6" s="690"/>
      <c r="G6" s="690"/>
      <c r="H6" s="690"/>
      <c r="I6" s="690"/>
      <c r="J6" s="690"/>
      <c r="K6" s="690"/>
    </row>
    <row r="7" spans="1:12" ht="18.899999999999999" customHeight="1">
      <c r="A7" s="690"/>
      <c r="B7" s="996" t="str">
        <f>'Tab.G1.1-4'!$B$8</f>
        <v>LP</v>
      </c>
      <c r="C7" s="1003" t="str">
        <f>'Tab.G1.1-4'!$C$8</f>
        <v>Wyszczególnienie</v>
      </c>
      <c r="D7" s="999"/>
      <c r="E7" s="632" t="str">
        <f>'Tab.G1.1-4'!$E$8</f>
        <v>Wykonanie</v>
      </c>
      <c r="F7" s="277"/>
      <c r="G7" s="277"/>
      <c r="H7" s="690"/>
      <c r="I7" s="690"/>
      <c r="J7" s="690"/>
      <c r="K7" s="690"/>
    </row>
    <row r="8" spans="1:12" ht="18.899999999999999" customHeight="1">
      <c r="A8" s="690"/>
      <c r="B8" s="997"/>
      <c r="C8" s="1004"/>
      <c r="D8" s="1001"/>
      <c r="E8" s="633">
        <f>Rok_ZPR</f>
        <v>2020</v>
      </c>
      <c r="F8" s="277"/>
      <c r="G8" s="277"/>
      <c r="H8" s="690"/>
      <c r="I8" s="690"/>
      <c r="J8" s="690"/>
      <c r="K8" s="690"/>
    </row>
    <row r="9" spans="1:12" ht="14.1" customHeight="1" thickBot="1">
      <c r="A9" s="690"/>
      <c r="B9" s="649" t="str">
        <f t="array" ref="B9:B65">Tab.G17!$B$10:$B$66</f>
        <v>01</v>
      </c>
      <c r="C9" s="994" t="str">
        <f>Tab.G17!$B$11</f>
        <v>02</v>
      </c>
      <c r="D9" s="995"/>
      <c r="E9" s="650" t="str">
        <f>Tab.G17!$B$12</f>
        <v>03</v>
      </c>
      <c r="F9" s="277"/>
      <c r="G9" s="277"/>
      <c r="H9" s="690"/>
      <c r="I9" s="690"/>
      <c r="J9" s="690"/>
      <c r="K9" s="690"/>
    </row>
    <row r="10" spans="1:12" ht="18.899999999999999" customHeight="1" thickBot="1">
      <c r="A10" s="690"/>
      <c r="B10" s="646" t="str">
        <v>02</v>
      </c>
      <c r="C10" s="711" t="s">
        <v>116</v>
      </c>
      <c r="D10" s="712" t="str">
        <f>'Tab.G1.1-4'!$D$11</f>
        <v>[tys. zł]</v>
      </c>
      <c r="E10" s="713">
        <f>SUM(E11,E22,E33)</f>
        <v>0</v>
      </c>
      <c r="F10" s="277"/>
      <c r="G10" s="277"/>
      <c r="H10" s="690"/>
      <c r="I10" s="690"/>
      <c r="J10" s="690"/>
      <c r="K10" s="690"/>
    </row>
    <row r="11" spans="1:12" ht="18.899999999999999" customHeight="1" thickBot="1">
      <c r="A11" s="690"/>
      <c r="B11" s="638" t="str">
        <v>03</v>
      </c>
      <c r="C11" s="3" t="s">
        <v>124</v>
      </c>
      <c r="D11" s="4" t="str">
        <f>'Tab.G1.1-4'!$D$11</f>
        <v>[tys. zł]</v>
      </c>
      <c r="E11" s="150">
        <f>SUM(E12,E17)</f>
        <v>0</v>
      </c>
      <c r="F11" s="277"/>
      <c r="G11" s="277"/>
      <c r="H11" s="690"/>
      <c r="I11" s="690"/>
      <c r="J11" s="690"/>
      <c r="K11" s="690"/>
    </row>
    <row r="12" spans="1:12" ht="18.899999999999999" customHeight="1">
      <c r="A12" s="690"/>
      <c r="B12" s="639" t="str">
        <v>04</v>
      </c>
      <c r="C12" s="261" t="s">
        <v>75</v>
      </c>
      <c r="D12" s="5" t="str">
        <f>'Tab.G1.1-4'!$D$11</f>
        <v>[tys. zł]</v>
      </c>
      <c r="E12" s="151">
        <f>SUM(E13:E16)</f>
        <v>0</v>
      </c>
      <c r="F12" s="277"/>
      <c r="G12" s="277"/>
      <c r="H12" s="690"/>
      <c r="I12" s="690"/>
      <c r="J12" s="690"/>
      <c r="K12" s="690"/>
    </row>
    <row r="13" spans="1:12" ht="18.899999999999999" customHeight="1">
      <c r="A13" s="690"/>
      <c r="B13" s="640" t="str">
        <v>05</v>
      </c>
      <c r="C13" s="263" t="s">
        <v>76</v>
      </c>
      <c r="D13" s="6" t="str">
        <f>'Tab.G1.1-4'!$D$11</f>
        <v>[tys. zł]</v>
      </c>
      <c r="E13" s="152"/>
      <c r="F13" s="277"/>
      <c r="G13" s="277"/>
      <c r="H13" s="690"/>
      <c r="I13" s="690"/>
      <c r="J13" s="690"/>
      <c r="K13" s="690"/>
    </row>
    <row r="14" spans="1:12" ht="18.899999999999999" customHeight="1">
      <c r="A14" s="690"/>
      <c r="B14" s="641" t="str">
        <v>06</v>
      </c>
      <c r="C14" s="264" t="s">
        <v>77</v>
      </c>
      <c r="D14" s="7" t="str">
        <f>'Tab.G1.1-4'!$D$11</f>
        <v>[tys. zł]</v>
      </c>
      <c r="E14" s="153"/>
      <c r="F14" s="277"/>
      <c r="G14" s="277"/>
      <c r="H14" s="690"/>
      <c r="I14" s="690"/>
      <c r="J14" s="690"/>
      <c r="K14" s="690"/>
    </row>
    <row r="15" spans="1:12" ht="18.899999999999999" customHeight="1">
      <c r="A15" s="690"/>
      <c r="B15" s="641" t="str">
        <v>07</v>
      </c>
      <c r="C15" s="264" t="s">
        <v>78</v>
      </c>
      <c r="D15" s="7" t="str">
        <f>'Tab.G1.1-4'!$D$11</f>
        <v>[tys. zł]</v>
      </c>
      <c r="E15" s="153"/>
      <c r="F15" s="277"/>
      <c r="G15" s="277"/>
      <c r="H15" s="690"/>
      <c r="I15" s="690"/>
      <c r="J15" s="690"/>
      <c r="K15" s="690"/>
    </row>
    <row r="16" spans="1:12" ht="18.899999999999999" customHeight="1">
      <c r="A16" s="690"/>
      <c r="B16" s="642" t="str">
        <v>08</v>
      </c>
      <c r="C16" s="267" t="s">
        <v>79</v>
      </c>
      <c r="D16" s="8" t="str">
        <f>'Tab.G1.1-4'!$D$11</f>
        <v>[tys. zł]</v>
      </c>
      <c r="E16" s="154"/>
      <c r="F16" s="277"/>
      <c r="G16" s="277"/>
      <c r="H16" s="690"/>
      <c r="I16" s="690"/>
      <c r="J16" s="690"/>
      <c r="K16" s="690"/>
    </row>
    <row r="17" spans="1:11" ht="18.899999999999999" customHeight="1">
      <c r="A17" s="690"/>
      <c r="B17" s="643" t="str">
        <v>09</v>
      </c>
      <c r="C17" s="262" t="s">
        <v>80</v>
      </c>
      <c r="D17" s="9" t="str">
        <f>'Tab.G1.1-4'!$D$11</f>
        <v>[tys. zł]</v>
      </c>
      <c r="E17" s="155">
        <f>SUM(E18:E21)</f>
        <v>0</v>
      </c>
      <c r="F17" s="277"/>
      <c r="G17" s="277"/>
      <c r="H17" s="690"/>
      <c r="I17" s="690"/>
      <c r="J17" s="690"/>
      <c r="K17" s="690"/>
    </row>
    <row r="18" spans="1:11" ht="18.899999999999999" customHeight="1">
      <c r="A18" s="690"/>
      <c r="B18" s="640" t="str">
        <v>10</v>
      </c>
      <c r="C18" s="263" t="s">
        <v>76</v>
      </c>
      <c r="D18" s="6" t="str">
        <f>'Tab.G1.1-4'!$D$11</f>
        <v>[tys. zł]</v>
      </c>
      <c r="E18" s="152"/>
      <c r="F18" s="277"/>
      <c r="G18" s="277"/>
      <c r="H18" s="690"/>
      <c r="I18" s="690"/>
      <c r="J18" s="690"/>
      <c r="K18" s="690"/>
    </row>
    <row r="19" spans="1:11" ht="18.899999999999999" customHeight="1">
      <c r="A19" s="690"/>
      <c r="B19" s="641" t="str">
        <v>11</v>
      </c>
      <c r="C19" s="264" t="s">
        <v>77</v>
      </c>
      <c r="D19" s="7" t="str">
        <f>'Tab.G1.1-4'!$D$11</f>
        <v>[tys. zł]</v>
      </c>
      <c r="E19" s="153"/>
      <c r="F19" s="277"/>
      <c r="G19" s="277"/>
      <c r="H19" s="690"/>
      <c r="I19" s="690"/>
      <c r="J19" s="690"/>
      <c r="K19" s="690"/>
    </row>
    <row r="20" spans="1:11" ht="18.899999999999999" customHeight="1">
      <c r="A20" s="690"/>
      <c r="B20" s="641" t="str">
        <v>12</v>
      </c>
      <c r="C20" s="264" t="s">
        <v>78</v>
      </c>
      <c r="D20" s="7" t="str">
        <f>'Tab.G1.1-4'!$D$11</f>
        <v>[tys. zł]</v>
      </c>
      <c r="E20" s="153"/>
      <c r="F20" s="277"/>
      <c r="G20" s="277"/>
      <c r="H20" s="690"/>
      <c r="I20" s="690"/>
      <c r="J20" s="690"/>
      <c r="K20" s="690"/>
    </row>
    <row r="21" spans="1:11" ht="18.899999999999999" customHeight="1" thickBot="1">
      <c r="A21" s="690"/>
      <c r="B21" s="644" t="str">
        <v>13</v>
      </c>
      <c r="C21" s="268" t="s">
        <v>79</v>
      </c>
      <c r="D21" s="10" t="str">
        <f>'Tab.G1.1-4'!$D$11</f>
        <v>[tys. zł]</v>
      </c>
      <c r="E21" s="156"/>
      <c r="F21" s="277"/>
      <c r="G21" s="277"/>
      <c r="H21" s="690"/>
      <c r="I21" s="690"/>
      <c r="J21" s="690"/>
      <c r="K21" s="690"/>
    </row>
    <row r="22" spans="1:11" ht="18.899999999999999" customHeight="1" thickBot="1">
      <c r="A22" s="690"/>
      <c r="B22" s="638" t="str">
        <v>14</v>
      </c>
      <c r="C22" s="11" t="s">
        <v>125</v>
      </c>
      <c r="D22" s="4" t="str">
        <f>'Tab.G1.1-4'!$D$11</f>
        <v>[tys. zł]</v>
      </c>
      <c r="E22" s="150">
        <f>SUM(E23,E28)</f>
        <v>0</v>
      </c>
      <c r="F22" s="277"/>
      <c r="G22" s="277"/>
      <c r="H22" s="690"/>
      <c r="I22" s="690"/>
      <c r="J22" s="690"/>
      <c r="K22" s="690"/>
    </row>
    <row r="23" spans="1:11" ht="18.899999999999999" customHeight="1">
      <c r="A23" s="690"/>
      <c r="B23" s="639" t="str">
        <v>15</v>
      </c>
      <c r="C23" s="261" t="s">
        <v>75</v>
      </c>
      <c r="D23" s="5" t="str">
        <f>'Tab.G1.1-4'!$D$11</f>
        <v>[tys. zł]</v>
      </c>
      <c r="E23" s="151">
        <f>SUM(E24:E27)</f>
        <v>0</v>
      </c>
      <c r="F23" s="277"/>
      <c r="G23" s="277"/>
      <c r="H23" s="690"/>
      <c r="I23" s="690"/>
      <c r="J23" s="690"/>
      <c r="K23" s="690"/>
    </row>
    <row r="24" spans="1:11" ht="18.899999999999999" customHeight="1">
      <c r="A24" s="690"/>
      <c r="B24" s="640" t="str">
        <v>16</v>
      </c>
      <c r="C24" s="263" t="s">
        <v>81</v>
      </c>
      <c r="D24" s="6" t="str">
        <f>'Tab.G1.1-4'!$D$11</f>
        <v>[tys. zł]</v>
      </c>
      <c r="E24" s="152"/>
      <c r="F24" s="277"/>
      <c r="G24" s="277"/>
      <c r="H24" s="690"/>
      <c r="I24" s="690"/>
      <c r="J24" s="690"/>
      <c r="K24" s="690"/>
    </row>
    <row r="25" spans="1:11" ht="18.899999999999999" customHeight="1">
      <c r="A25" s="690"/>
      <c r="B25" s="641" t="str">
        <v>17</v>
      </c>
      <c r="C25" s="264" t="s">
        <v>78</v>
      </c>
      <c r="D25" s="7" t="str">
        <f>'Tab.G1.1-4'!$D$11</f>
        <v>[tys. zł]</v>
      </c>
      <c r="E25" s="153"/>
      <c r="F25" s="277"/>
      <c r="G25" s="277"/>
      <c r="H25" s="690"/>
      <c r="I25" s="690"/>
      <c r="J25" s="690"/>
      <c r="K25" s="690"/>
    </row>
    <row r="26" spans="1:11" ht="18.899999999999999" customHeight="1">
      <c r="A26" s="690"/>
      <c r="B26" s="641" t="str">
        <v>18</v>
      </c>
      <c r="C26" s="265" t="s">
        <v>82</v>
      </c>
      <c r="D26" s="7" t="str">
        <f>'Tab.G1.1-4'!$D$11</f>
        <v>[tys. zł]</v>
      </c>
      <c r="E26" s="153"/>
      <c r="F26" s="277"/>
      <c r="G26" s="277"/>
      <c r="H26" s="690"/>
      <c r="I26" s="690"/>
      <c r="J26" s="690"/>
      <c r="K26" s="690"/>
    </row>
    <row r="27" spans="1:11" ht="18.899999999999999" customHeight="1">
      <c r="A27" s="690"/>
      <c r="B27" s="642" t="str">
        <v>19</v>
      </c>
      <c r="C27" s="267" t="s">
        <v>83</v>
      </c>
      <c r="D27" s="8" t="str">
        <f>'Tab.G1.1-4'!$D$11</f>
        <v>[tys. zł]</v>
      </c>
      <c r="E27" s="154"/>
      <c r="F27" s="277"/>
      <c r="G27" s="277"/>
      <c r="H27" s="690"/>
      <c r="I27" s="690"/>
      <c r="J27" s="690"/>
      <c r="K27" s="690"/>
    </row>
    <row r="28" spans="1:11" ht="18.899999999999999" customHeight="1">
      <c r="A28" s="690"/>
      <c r="B28" s="643" t="str">
        <v>20</v>
      </c>
      <c r="C28" s="262" t="s">
        <v>80</v>
      </c>
      <c r="D28" s="9" t="str">
        <f>'Tab.G1.1-4'!$D$11</f>
        <v>[tys. zł]</v>
      </c>
      <c r="E28" s="155">
        <f>SUM(E29:E32)</f>
        <v>0</v>
      </c>
      <c r="F28" s="277"/>
      <c r="G28" s="277"/>
      <c r="H28" s="690"/>
      <c r="I28" s="690"/>
      <c r="J28" s="690"/>
      <c r="K28" s="690"/>
    </row>
    <row r="29" spans="1:11" ht="18.899999999999999" customHeight="1">
      <c r="A29" s="690"/>
      <c r="B29" s="640" t="str">
        <v>21</v>
      </c>
      <c r="C29" s="263" t="s">
        <v>81</v>
      </c>
      <c r="D29" s="6" t="str">
        <f>'Tab.G1.1-4'!$D$11</f>
        <v>[tys. zł]</v>
      </c>
      <c r="E29" s="152"/>
      <c r="F29" s="277"/>
      <c r="G29" s="277"/>
      <c r="H29" s="690"/>
      <c r="I29" s="690"/>
      <c r="J29" s="690"/>
      <c r="K29" s="690"/>
    </row>
    <row r="30" spans="1:11" ht="18.899999999999999" customHeight="1">
      <c r="A30" s="690"/>
      <c r="B30" s="641" t="str">
        <v>22</v>
      </c>
      <c r="C30" s="264" t="s">
        <v>78</v>
      </c>
      <c r="D30" s="7" t="str">
        <f>'Tab.G1.1-4'!$D$11</f>
        <v>[tys. zł]</v>
      </c>
      <c r="E30" s="153"/>
      <c r="F30" s="277"/>
      <c r="G30" s="277"/>
      <c r="H30" s="690"/>
      <c r="I30" s="690"/>
      <c r="J30" s="690"/>
      <c r="K30" s="690"/>
    </row>
    <row r="31" spans="1:11" ht="18.899999999999999" customHeight="1">
      <c r="A31" s="690"/>
      <c r="B31" s="641" t="str">
        <v>23</v>
      </c>
      <c r="C31" s="265" t="s">
        <v>82</v>
      </c>
      <c r="D31" s="7" t="str">
        <f>'Tab.G1.1-4'!$D$11</f>
        <v>[tys. zł]</v>
      </c>
      <c r="E31" s="153"/>
      <c r="F31" s="277"/>
      <c r="G31" s="277"/>
      <c r="H31" s="690"/>
      <c r="I31" s="690"/>
      <c r="J31" s="690"/>
      <c r="K31" s="690"/>
    </row>
    <row r="32" spans="1:11" ht="18.899999999999999" customHeight="1" thickBot="1">
      <c r="A32" s="690"/>
      <c r="B32" s="644" t="str">
        <v>24</v>
      </c>
      <c r="C32" s="268" t="s">
        <v>83</v>
      </c>
      <c r="D32" s="10" t="str">
        <f>'Tab.G1.1-4'!$D$11</f>
        <v>[tys. zł]</v>
      </c>
      <c r="E32" s="156"/>
      <c r="F32" s="277"/>
      <c r="G32" s="277"/>
      <c r="H32" s="690"/>
      <c r="I32" s="690"/>
      <c r="J32" s="690"/>
      <c r="K32" s="690"/>
    </row>
    <row r="33" spans="1:11" ht="18.899999999999999" customHeight="1" thickBot="1">
      <c r="A33" s="690"/>
      <c r="B33" s="638" t="str">
        <v>25</v>
      </c>
      <c r="C33" s="11" t="s">
        <v>118</v>
      </c>
      <c r="D33" s="4" t="str">
        <f>'Tab.G1.1-4'!$D$11</f>
        <v>[tys. zł]</v>
      </c>
      <c r="E33" s="150">
        <f>SUM(E34,E39)</f>
        <v>0</v>
      </c>
      <c r="F33" s="277"/>
      <c r="G33" s="277"/>
      <c r="H33" s="690"/>
      <c r="I33" s="690"/>
      <c r="J33" s="690"/>
      <c r="K33" s="690"/>
    </row>
    <row r="34" spans="1:11" ht="18.899999999999999" customHeight="1">
      <c r="A34" s="690"/>
      <c r="B34" s="639" t="str">
        <v>26</v>
      </c>
      <c r="C34" s="261" t="s">
        <v>75</v>
      </c>
      <c r="D34" s="5" t="str">
        <f>'Tab.G1.1-4'!$D$11</f>
        <v>[tys. zł]</v>
      </c>
      <c r="E34" s="151">
        <f>SUM(E35:E38)</f>
        <v>0</v>
      </c>
      <c r="F34" s="277"/>
      <c r="G34" s="277"/>
      <c r="H34" s="690"/>
      <c r="I34" s="690"/>
      <c r="J34" s="690"/>
      <c r="K34" s="690"/>
    </row>
    <row r="35" spans="1:11" ht="18.899999999999999" customHeight="1">
      <c r="A35" s="690"/>
      <c r="B35" s="640" t="str">
        <v>27</v>
      </c>
      <c r="C35" s="263" t="s">
        <v>284</v>
      </c>
      <c r="D35" s="6" t="str">
        <f>'Tab.G1.1-4'!$D$11</f>
        <v>[tys. zł]</v>
      </c>
      <c r="E35" s="152"/>
      <c r="F35" s="277"/>
      <c r="G35" s="277"/>
      <c r="H35" s="690"/>
      <c r="I35" s="690"/>
      <c r="J35" s="690"/>
      <c r="K35" s="690"/>
    </row>
    <row r="36" spans="1:11" ht="18.899999999999999" customHeight="1">
      <c r="A36" s="690"/>
      <c r="B36" s="641" t="str">
        <v>28</v>
      </c>
      <c r="C36" s="265" t="s">
        <v>82</v>
      </c>
      <c r="D36" s="7" t="str">
        <f>'Tab.G1.1-4'!$D$11</f>
        <v>[tys. zł]</v>
      </c>
      <c r="E36" s="153"/>
      <c r="F36" s="277"/>
      <c r="G36" s="277"/>
      <c r="H36" s="690"/>
      <c r="I36" s="690"/>
      <c r="J36" s="690"/>
      <c r="K36" s="690"/>
    </row>
    <row r="37" spans="1:11" ht="18.899999999999999" customHeight="1">
      <c r="A37" s="690"/>
      <c r="B37" s="641" t="str">
        <v>29</v>
      </c>
      <c r="C37" s="265" t="s">
        <v>86</v>
      </c>
      <c r="D37" s="7" t="str">
        <f>'Tab.G1.1-4'!$D$11</f>
        <v>[tys. zł]</v>
      </c>
      <c r="E37" s="153"/>
      <c r="F37" s="277"/>
      <c r="G37" s="277"/>
      <c r="H37" s="690"/>
      <c r="I37" s="690"/>
      <c r="J37" s="690"/>
      <c r="K37" s="690"/>
    </row>
    <row r="38" spans="1:11" ht="18.899999999999999" customHeight="1">
      <c r="A38" s="690"/>
      <c r="B38" s="642" t="str">
        <v>30</v>
      </c>
      <c r="C38" s="272" t="s">
        <v>87</v>
      </c>
      <c r="D38" s="8" t="str">
        <f>'Tab.G1.1-4'!$D$11</f>
        <v>[tys. zł]</v>
      </c>
      <c r="E38" s="154"/>
      <c r="F38" s="277"/>
      <c r="G38" s="277"/>
      <c r="H38" s="690"/>
      <c r="I38" s="690"/>
      <c r="J38" s="690"/>
      <c r="K38" s="690"/>
    </row>
    <row r="39" spans="1:11" ht="18.899999999999999" customHeight="1">
      <c r="A39" s="690"/>
      <c r="B39" s="643" t="str">
        <v>31</v>
      </c>
      <c r="C39" s="262" t="s">
        <v>80</v>
      </c>
      <c r="D39" s="9" t="str">
        <f>'Tab.G1.1-4'!$D$11</f>
        <v>[tys. zł]</v>
      </c>
      <c r="E39" s="155">
        <f>SUM(E40:E43)</f>
        <v>0</v>
      </c>
      <c r="F39" s="277"/>
      <c r="G39" s="277"/>
      <c r="H39" s="690"/>
      <c r="I39" s="690"/>
      <c r="J39" s="690"/>
      <c r="K39" s="690"/>
    </row>
    <row r="40" spans="1:11" ht="18.899999999999999" customHeight="1">
      <c r="A40" s="690"/>
      <c r="B40" s="640" t="str">
        <v>32</v>
      </c>
      <c r="C40" s="263" t="s">
        <v>284</v>
      </c>
      <c r="D40" s="6" t="str">
        <f>'Tab.G1.1-4'!$D$11</f>
        <v>[tys. zł]</v>
      </c>
      <c r="E40" s="152"/>
      <c r="F40" s="277"/>
      <c r="G40" s="277"/>
      <c r="H40" s="690"/>
      <c r="I40" s="690"/>
      <c r="J40" s="690"/>
      <c r="K40" s="690"/>
    </row>
    <row r="41" spans="1:11" ht="18.899999999999999" customHeight="1">
      <c r="A41" s="690"/>
      <c r="B41" s="641" t="str">
        <v>33</v>
      </c>
      <c r="C41" s="265" t="s">
        <v>82</v>
      </c>
      <c r="D41" s="7" t="str">
        <f>'Tab.G1.1-4'!$D$11</f>
        <v>[tys. zł]</v>
      </c>
      <c r="E41" s="153"/>
      <c r="F41" s="277"/>
      <c r="G41" s="277"/>
      <c r="H41" s="690"/>
      <c r="I41" s="690"/>
      <c r="J41" s="690"/>
      <c r="K41" s="690"/>
    </row>
    <row r="42" spans="1:11" ht="18.899999999999999" customHeight="1">
      <c r="A42" s="690"/>
      <c r="B42" s="641" t="str">
        <v>34</v>
      </c>
      <c r="C42" s="265" t="s">
        <v>86</v>
      </c>
      <c r="D42" s="7" t="str">
        <f>'Tab.G1.1-4'!$D$11</f>
        <v>[tys. zł]</v>
      </c>
      <c r="E42" s="153"/>
      <c r="F42" s="277"/>
      <c r="G42" s="277"/>
      <c r="H42" s="690"/>
      <c r="I42" s="690"/>
      <c r="J42" s="690"/>
      <c r="K42" s="690"/>
    </row>
    <row r="43" spans="1:11" ht="18.899999999999999" customHeight="1" thickBot="1">
      <c r="A43" s="690"/>
      <c r="B43" s="644" t="str">
        <v>35</v>
      </c>
      <c r="C43" s="844" t="s">
        <v>87</v>
      </c>
      <c r="D43" s="10" t="str">
        <f>'Tab.G1.1-4'!$D$11</f>
        <v>[tys. zł]</v>
      </c>
      <c r="E43" s="156"/>
      <c r="F43" s="277"/>
      <c r="G43" s="277"/>
      <c r="H43" s="690"/>
      <c r="I43" s="690"/>
      <c r="J43" s="690"/>
      <c r="K43" s="690"/>
    </row>
    <row r="44" spans="1:11" ht="18.899999999999999" customHeight="1" thickBot="1">
      <c r="A44" s="690"/>
      <c r="B44" s="646" t="str">
        <v>36</v>
      </c>
      <c r="C44" s="1" t="s">
        <v>117</v>
      </c>
      <c r="D44" s="2" t="str">
        <f>'Tab.G1.1-4'!$D$11</f>
        <v>[tys. zł]</v>
      </c>
      <c r="E44" s="149">
        <f>SUM(E45,E49,E53,E57:E58)</f>
        <v>0</v>
      </c>
      <c r="F44" s="277"/>
      <c r="G44" s="277"/>
      <c r="H44" s="690"/>
      <c r="I44" s="690"/>
      <c r="J44" s="690"/>
      <c r="K44" s="690"/>
    </row>
    <row r="45" spans="1:11" ht="18.899999999999999" customHeight="1">
      <c r="A45" s="690"/>
      <c r="B45" s="639" t="str">
        <v>37</v>
      </c>
      <c r="C45" s="12" t="s">
        <v>119</v>
      </c>
      <c r="D45" s="5" t="str">
        <f>'Tab.G1.1-4'!$D$11</f>
        <v>[tys. zł]</v>
      </c>
      <c r="E45" s="151">
        <f>SUM(E46:E48)</f>
        <v>0</v>
      </c>
      <c r="F45" s="277"/>
      <c r="G45" s="277"/>
      <c r="H45" s="690"/>
      <c r="I45" s="690"/>
      <c r="J45" s="690"/>
      <c r="K45" s="690"/>
    </row>
    <row r="46" spans="1:11" ht="18.899999999999999" customHeight="1">
      <c r="A46" s="690"/>
      <c r="B46" s="640" t="str">
        <v>38</v>
      </c>
      <c r="C46" s="263" t="s">
        <v>88</v>
      </c>
      <c r="D46" s="6" t="str">
        <f>'Tab.G1.1-4'!$D$11</f>
        <v>[tys. zł]</v>
      </c>
      <c r="E46" s="152"/>
      <c r="F46" s="277"/>
      <c r="G46" s="277"/>
      <c r="H46" s="690"/>
      <c r="I46" s="690"/>
      <c r="J46" s="690"/>
      <c r="K46" s="690"/>
    </row>
    <row r="47" spans="1:11" ht="18.899999999999999" customHeight="1">
      <c r="A47" s="690"/>
      <c r="B47" s="641" t="str">
        <v>39</v>
      </c>
      <c r="C47" s="264" t="s">
        <v>89</v>
      </c>
      <c r="D47" s="7" t="str">
        <f>'Tab.G1.1-4'!$D$11</f>
        <v>[tys. zł]</v>
      </c>
      <c r="E47" s="153"/>
      <c r="F47" s="277"/>
      <c r="G47" s="277"/>
      <c r="H47" s="690"/>
      <c r="I47" s="690"/>
      <c r="J47" s="690"/>
      <c r="K47" s="690"/>
    </row>
    <row r="48" spans="1:11" ht="18.899999999999999" customHeight="1">
      <c r="A48" s="690"/>
      <c r="B48" s="642" t="str">
        <v>40</v>
      </c>
      <c r="C48" s="272" t="s">
        <v>90</v>
      </c>
      <c r="D48" s="8" t="str">
        <f>'Tab.G1.1-4'!$D$11</f>
        <v>[tys. zł]</v>
      </c>
      <c r="E48" s="154"/>
      <c r="F48" s="277"/>
      <c r="G48" s="277"/>
      <c r="H48" s="690"/>
      <c r="I48" s="690"/>
      <c r="J48" s="690"/>
      <c r="K48" s="690"/>
    </row>
    <row r="49" spans="1:11" ht="18.899999999999999" customHeight="1">
      <c r="A49" s="690"/>
      <c r="B49" s="643" t="str">
        <v>41</v>
      </c>
      <c r="C49" s="13" t="s">
        <v>120</v>
      </c>
      <c r="D49" s="9" t="str">
        <f>'Tab.G1.1-4'!$D$11</f>
        <v>[tys. zł]</v>
      </c>
      <c r="E49" s="155">
        <f>SUM(E50:E52)</f>
        <v>0</v>
      </c>
      <c r="F49" s="277"/>
      <c r="G49" s="277"/>
      <c r="H49" s="690"/>
      <c r="I49" s="690"/>
      <c r="J49" s="690"/>
      <c r="K49" s="690"/>
    </row>
    <row r="50" spans="1:11" ht="18.899999999999999" customHeight="1">
      <c r="A50" s="690"/>
      <c r="B50" s="640" t="str">
        <v>42</v>
      </c>
      <c r="C50" s="263" t="s">
        <v>91</v>
      </c>
      <c r="D50" s="6" t="str">
        <f>'Tab.G1.1-4'!$D$11</f>
        <v>[tys. zł]</v>
      </c>
      <c r="E50" s="152"/>
      <c r="F50" s="277"/>
      <c r="G50" s="277"/>
      <c r="H50" s="690"/>
      <c r="I50" s="690"/>
      <c r="J50" s="690"/>
      <c r="K50" s="690"/>
    </row>
    <row r="51" spans="1:11" ht="18.899999999999999" customHeight="1">
      <c r="A51" s="690"/>
      <c r="B51" s="641" t="str">
        <v>43</v>
      </c>
      <c r="C51" s="265" t="s">
        <v>92</v>
      </c>
      <c r="D51" s="7" t="str">
        <f>'Tab.G1.1-4'!$D$11</f>
        <v>[tys. zł]</v>
      </c>
      <c r="E51" s="153"/>
      <c r="F51" s="277"/>
      <c r="G51" s="277"/>
      <c r="H51" s="690"/>
      <c r="I51" s="690"/>
      <c r="J51" s="690"/>
      <c r="K51" s="690"/>
    </row>
    <row r="52" spans="1:11" ht="18.899999999999999" customHeight="1">
      <c r="A52" s="690"/>
      <c r="B52" s="642" t="str">
        <v>44</v>
      </c>
      <c r="C52" s="272" t="s">
        <v>93</v>
      </c>
      <c r="D52" s="8" t="str">
        <f>'Tab.G1.1-4'!$D$11</f>
        <v>[tys. zł]</v>
      </c>
      <c r="E52" s="154"/>
      <c r="F52" s="277"/>
      <c r="G52" s="277"/>
      <c r="H52" s="690"/>
      <c r="I52" s="690"/>
      <c r="J52" s="690"/>
      <c r="K52" s="690"/>
    </row>
    <row r="53" spans="1:11" ht="18.899999999999999" customHeight="1">
      <c r="A53" s="690"/>
      <c r="B53" s="643" t="str">
        <v>45</v>
      </c>
      <c r="C53" s="13" t="s">
        <v>121</v>
      </c>
      <c r="D53" s="9" t="str">
        <f>'Tab.G1.1-4'!$D$11</f>
        <v>[tys. zł]</v>
      </c>
      <c r="E53" s="155">
        <f>SUM(E54:E56)</f>
        <v>0</v>
      </c>
      <c r="F53" s="277"/>
      <c r="G53" s="277"/>
      <c r="H53" s="690"/>
      <c r="I53" s="690"/>
      <c r="J53" s="690"/>
      <c r="K53" s="690"/>
    </row>
    <row r="54" spans="1:11" ht="18.899999999999999" customHeight="1">
      <c r="A54" s="690"/>
      <c r="B54" s="640" t="str">
        <v>46</v>
      </c>
      <c r="C54" s="263" t="s">
        <v>91</v>
      </c>
      <c r="D54" s="6" t="str">
        <f>'Tab.G1.1-4'!$D$11</f>
        <v>[tys. zł]</v>
      </c>
      <c r="E54" s="152"/>
      <c r="F54" s="277"/>
      <c r="G54" s="277"/>
      <c r="H54" s="690"/>
      <c r="I54" s="690"/>
      <c r="J54" s="690"/>
      <c r="K54" s="690"/>
    </row>
    <row r="55" spans="1:11" ht="18.899999999999999" customHeight="1">
      <c r="A55" s="690"/>
      <c r="B55" s="641" t="str">
        <v>47</v>
      </c>
      <c r="C55" s="265" t="s">
        <v>92</v>
      </c>
      <c r="D55" s="7" t="str">
        <f>'Tab.G1.1-4'!$D$11</f>
        <v>[tys. zł]</v>
      </c>
      <c r="E55" s="153"/>
      <c r="F55" s="277"/>
      <c r="G55" s="277"/>
      <c r="H55" s="690"/>
      <c r="I55" s="690"/>
      <c r="J55" s="690"/>
      <c r="K55" s="690"/>
    </row>
    <row r="56" spans="1:11" ht="18.899999999999999" customHeight="1">
      <c r="A56" s="690"/>
      <c r="B56" s="642" t="str">
        <v>48</v>
      </c>
      <c r="C56" s="272" t="s">
        <v>93</v>
      </c>
      <c r="D56" s="8" t="str">
        <f>'Tab.G1.1-4'!$D$11</f>
        <v>[tys. zł]</v>
      </c>
      <c r="E56" s="154"/>
      <c r="F56" s="277"/>
      <c r="G56" s="277"/>
      <c r="H56" s="690"/>
      <c r="I56" s="690"/>
      <c r="J56" s="690"/>
      <c r="K56" s="690"/>
    </row>
    <row r="57" spans="1:11" ht="18.899999999999999" customHeight="1">
      <c r="A57" s="690"/>
      <c r="B57" s="647" t="str">
        <v>49</v>
      </c>
      <c r="C57" s="14" t="s">
        <v>122</v>
      </c>
      <c r="D57" s="15" t="str">
        <f>'Tab.G1.1-4'!$D$11</f>
        <v>[tys. zł]</v>
      </c>
      <c r="E57" s="155"/>
      <c r="F57" s="277"/>
      <c r="G57" s="277"/>
      <c r="H57" s="690"/>
      <c r="I57" s="690"/>
      <c r="J57" s="690"/>
      <c r="K57" s="690"/>
    </row>
    <row r="58" spans="1:11" ht="18.899999999999999" customHeight="1" thickBot="1">
      <c r="A58" s="690"/>
      <c r="B58" s="648" t="str">
        <v>50</v>
      </c>
      <c r="C58" s="16" t="s">
        <v>123</v>
      </c>
      <c r="D58" s="17" t="str">
        <f>'Tab.G1.1-4'!$D$11</f>
        <v>[tys. zł]</v>
      </c>
      <c r="E58" s="157"/>
      <c r="F58" s="277"/>
      <c r="G58" s="277"/>
      <c r="H58" s="690"/>
      <c r="I58" s="690"/>
      <c r="J58" s="690"/>
      <c r="K58" s="690"/>
    </row>
    <row r="59" spans="1:11" ht="18.899999999999999" customHeight="1" thickBot="1">
      <c r="A59" s="690"/>
      <c r="B59" s="646" t="str">
        <v>51</v>
      </c>
      <c r="C59" s="1" t="s">
        <v>130</v>
      </c>
      <c r="D59" s="2" t="str">
        <f>'Tab.G1.1-4'!$D$11</f>
        <v>[tys. zł]</v>
      </c>
      <c r="E59" s="149">
        <f>SUM(E60,E63:E65)</f>
        <v>0</v>
      </c>
      <c r="F59" s="690"/>
      <c r="G59" s="690"/>
      <c r="H59" s="690"/>
      <c r="I59" s="690"/>
      <c r="J59" s="690"/>
      <c r="K59" s="690"/>
    </row>
    <row r="60" spans="1:11" ht="18.899999999999999" customHeight="1">
      <c r="A60" s="690"/>
      <c r="B60" s="639" t="str">
        <v>52</v>
      </c>
      <c r="C60" s="12" t="s">
        <v>131</v>
      </c>
      <c r="D60" s="5" t="str">
        <f>'Tab.G1.1-4'!$D$11</f>
        <v>[tys. zł]</v>
      </c>
      <c r="E60" s="151">
        <f>SUM(E61:E62)</f>
        <v>0</v>
      </c>
      <c r="F60" s="690"/>
      <c r="G60" s="690"/>
      <c r="H60" s="690"/>
      <c r="I60" s="690"/>
      <c r="J60" s="690"/>
      <c r="K60" s="690"/>
    </row>
    <row r="61" spans="1:11" ht="18.899999999999999" customHeight="1">
      <c r="A61" s="690"/>
      <c r="B61" s="640" t="str">
        <v>53</v>
      </c>
      <c r="C61" s="266" t="s">
        <v>132</v>
      </c>
      <c r="D61" s="6" t="str">
        <f>'Tab.G1.1-4'!$D$11</f>
        <v>[tys. zł]</v>
      </c>
      <c r="E61" s="152"/>
      <c r="F61" s="690"/>
      <c r="G61" s="690"/>
      <c r="H61" s="690"/>
      <c r="I61" s="690"/>
      <c r="J61" s="690"/>
      <c r="K61" s="690"/>
    </row>
    <row r="62" spans="1:11" ht="18.899999999999999" customHeight="1">
      <c r="A62" s="690"/>
      <c r="B62" s="645" t="str">
        <v>54</v>
      </c>
      <c r="C62" s="269" t="s">
        <v>133</v>
      </c>
      <c r="D62" s="270" t="str">
        <f>'Tab.G1.1-4'!$D$11</f>
        <v>[tys. zł]</v>
      </c>
      <c r="E62" s="271"/>
      <c r="F62" s="690"/>
      <c r="G62" s="690"/>
      <c r="H62" s="690"/>
      <c r="I62" s="690"/>
      <c r="J62" s="690"/>
      <c r="K62" s="690"/>
    </row>
    <row r="63" spans="1:11" ht="18.899999999999999" customHeight="1">
      <c r="A63" s="690"/>
      <c r="B63" s="643" t="str">
        <v>55</v>
      </c>
      <c r="C63" s="13" t="s">
        <v>134</v>
      </c>
      <c r="D63" s="9" t="str">
        <f>'Tab.G1.1-4'!$D$11</f>
        <v>[tys. zł]</v>
      </c>
      <c r="E63" s="155"/>
      <c r="F63" s="690"/>
      <c r="G63" s="690"/>
      <c r="H63" s="690"/>
      <c r="I63" s="690"/>
      <c r="J63" s="690"/>
      <c r="K63" s="690"/>
    </row>
    <row r="64" spans="1:11" ht="18.899999999999999" customHeight="1">
      <c r="A64" s="690"/>
      <c r="B64" s="643" t="str">
        <v>56</v>
      </c>
      <c r="C64" s="13" t="s">
        <v>135</v>
      </c>
      <c r="D64" s="9" t="str">
        <f>'Tab.G1.1-4'!$D$11</f>
        <v>[tys. zł]</v>
      </c>
      <c r="E64" s="155"/>
      <c r="F64" s="690"/>
      <c r="G64" s="690"/>
      <c r="H64" s="690"/>
      <c r="I64" s="690"/>
      <c r="J64" s="690"/>
      <c r="K64" s="690"/>
    </row>
    <row r="65" spans="1:11" ht="18.899999999999999" customHeight="1" thickBot="1">
      <c r="A65" s="690"/>
      <c r="B65" s="648" t="str">
        <v>57</v>
      </c>
      <c r="C65" s="16" t="s">
        <v>136</v>
      </c>
      <c r="D65" s="17" t="str">
        <f>'Tab.G1.1-4'!$D$11</f>
        <v>[tys. zł]</v>
      </c>
      <c r="E65" s="157"/>
      <c r="F65" s="690"/>
      <c r="G65" s="690"/>
      <c r="H65" s="690"/>
      <c r="I65" s="690"/>
      <c r="J65" s="690"/>
      <c r="K65" s="690"/>
    </row>
    <row r="66" spans="1:11" ht="18.899999999999999" customHeight="1">
      <c r="A66" s="690"/>
      <c r="B66" s="690"/>
      <c r="C66" s="690"/>
      <c r="D66" s="690"/>
      <c r="E66" s="690"/>
      <c r="F66" s="690"/>
      <c r="G66" s="690"/>
      <c r="H66" s="690"/>
      <c r="I66" s="690"/>
      <c r="J66" s="690"/>
      <c r="K66" s="690"/>
    </row>
    <row r="67" spans="1:11" ht="18.899999999999999" customHeight="1">
      <c r="A67" s="690"/>
      <c r="B67" s="690"/>
      <c r="C67" s="690"/>
      <c r="D67" s="690"/>
      <c r="E67" s="690"/>
      <c r="F67" s="690"/>
      <c r="G67" s="690"/>
      <c r="H67" s="690"/>
      <c r="I67" s="690"/>
      <c r="J67" s="690"/>
      <c r="K67" s="690"/>
    </row>
    <row r="68" spans="1:11" ht="30" customHeight="1" thickBot="1">
      <c r="A68" s="690"/>
      <c r="B68" s="700" t="s">
        <v>137</v>
      </c>
      <c r="C68" s="690"/>
      <c r="D68" s="690"/>
      <c r="E68" s="690"/>
      <c r="F68" s="690"/>
      <c r="G68" s="690"/>
      <c r="H68" s="690"/>
      <c r="I68" s="690"/>
      <c r="J68" s="690"/>
      <c r="K68" s="690"/>
    </row>
    <row r="69" spans="1:11" ht="18.899999999999999" customHeight="1">
      <c r="A69" s="690"/>
      <c r="B69" s="996" t="str">
        <f>'Tab.G1.1-4'!$B$8</f>
        <v>LP</v>
      </c>
      <c r="C69" s="1003" t="str">
        <f>'Tab.G1.1-4'!$C$8</f>
        <v>Wyszczególnienie</v>
      </c>
      <c r="D69" s="999"/>
      <c r="E69" s="632" t="str">
        <f>'Tab.G1.1-4'!$E$8</f>
        <v>Wykonanie</v>
      </c>
      <c r="F69" s="277"/>
      <c r="G69" s="277"/>
      <c r="H69" s="690"/>
      <c r="I69" s="690"/>
      <c r="J69" s="690"/>
      <c r="K69" s="690"/>
    </row>
    <row r="70" spans="1:11" ht="18.899999999999999" customHeight="1">
      <c r="A70" s="690"/>
      <c r="B70" s="997"/>
      <c r="C70" s="1004"/>
      <c r="D70" s="1001"/>
      <c r="E70" s="633">
        <f>Rok_ZPR</f>
        <v>2020</v>
      </c>
      <c r="F70" s="277"/>
      <c r="G70" s="277"/>
      <c r="H70" s="690"/>
      <c r="I70" s="690"/>
      <c r="J70" s="690"/>
      <c r="K70" s="690"/>
    </row>
    <row r="71" spans="1:11" ht="14.1" customHeight="1" thickBot="1">
      <c r="A71" s="690"/>
      <c r="B71" s="649" t="str">
        <f t="array" ref="B71:B127">Tab.G17!$B$10:$B$66</f>
        <v>01</v>
      </c>
      <c r="C71" s="994" t="str">
        <f>Tab.G17!$B$11</f>
        <v>02</v>
      </c>
      <c r="D71" s="995"/>
      <c r="E71" s="650" t="str">
        <f>Tab.G17!$B$12</f>
        <v>03</v>
      </c>
      <c r="F71" s="277"/>
      <c r="G71" s="277"/>
      <c r="H71" s="690"/>
      <c r="I71" s="690"/>
      <c r="J71" s="690"/>
      <c r="K71" s="690"/>
    </row>
    <row r="72" spans="1:11" ht="18.899999999999999" customHeight="1" thickBot="1">
      <c r="A72" s="690"/>
      <c r="B72" s="646" t="str">
        <v>02</v>
      </c>
      <c r="C72" s="711" t="str">
        <f t="array" ref="C72:C127">$C$10:$C$65</f>
        <v>A. GAZOCIĄGI DYSTRYBUCYJNE, Z TEGO:</v>
      </c>
      <c r="D72" s="712" t="str">
        <f>"[km]"</f>
        <v>[km]</v>
      </c>
      <c r="E72" s="713">
        <f>SUM(E73,E84,E95)</f>
        <v>0</v>
      </c>
      <c r="F72" s="277"/>
      <c r="G72" s="277"/>
      <c r="H72" s="690"/>
      <c r="I72" s="690"/>
      <c r="J72" s="690"/>
      <c r="K72" s="690"/>
    </row>
    <row r="73" spans="1:11" ht="18.899999999999999" customHeight="1" thickBot="1">
      <c r="A73" s="690"/>
      <c r="B73" s="638" t="str">
        <v>03</v>
      </c>
      <c r="C73" s="3" t="str">
        <v>A1. Gazociągi wysokiego i podyższonego średniego ciśnienia</v>
      </c>
      <c r="D73" s="4" t="str">
        <f t="shared" ref="D73:D105" si="0">$D$72</f>
        <v>[km]</v>
      </c>
      <c r="E73" s="150">
        <f>SUM(E74,E79)</f>
        <v>0</v>
      </c>
      <c r="F73" s="277"/>
      <c r="G73" s="277"/>
      <c r="H73" s="690"/>
      <c r="I73" s="690"/>
      <c r="J73" s="690"/>
      <c r="K73" s="690"/>
    </row>
    <row r="74" spans="1:11" ht="18.899999999999999" customHeight="1">
      <c r="A74" s="690"/>
      <c r="B74" s="639" t="str">
        <v>04</v>
      </c>
      <c r="C74" s="261" t="str">
        <v>ze stali</v>
      </c>
      <c r="D74" s="5" t="str">
        <f t="shared" si="0"/>
        <v>[km]</v>
      </c>
      <c r="E74" s="151">
        <f>SUM(E75:E78)</f>
        <v>0</v>
      </c>
      <c r="F74" s="277"/>
      <c r="G74" s="277"/>
      <c r="H74" s="690"/>
      <c r="I74" s="690"/>
      <c r="J74" s="690"/>
      <c r="K74" s="690"/>
    </row>
    <row r="75" spans="1:11" ht="18.899999999999999" customHeight="1">
      <c r="A75" s="690"/>
      <c r="B75" s="640" t="str">
        <v>05</v>
      </c>
      <c r="C75" s="263" t="str">
        <v>300 &lt; DN[mm]</v>
      </c>
      <c r="D75" s="6" t="str">
        <f t="shared" si="0"/>
        <v>[km]</v>
      </c>
      <c r="E75" s="152"/>
      <c r="F75" s="277"/>
      <c r="G75" s="277"/>
      <c r="H75" s="690"/>
      <c r="I75" s="690"/>
      <c r="J75" s="690"/>
      <c r="K75" s="690"/>
    </row>
    <row r="76" spans="1:11" ht="18.899999999999999" customHeight="1">
      <c r="A76" s="690"/>
      <c r="B76" s="641" t="str">
        <v>06</v>
      </c>
      <c r="C76" s="264" t="str">
        <v>200 &lt; DN[mm] ≤ 300</v>
      </c>
      <c r="D76" s="7" t="str">
        <f t="shared" si="0"/>
        <v>[km]</v>
      </c>
      <c r="E76" s="153"/>
      <c r="F76" s="277"/>
      <c r="G76" s="277"/>
      <c r="H76" s="690"/>
      <c r="I76" s="690"/>
      <c r="J76" s="690"/>
      <c r="K76" s="690"/>
    </row>
    <row r="77" spans="1:11" ht="18.899999999999999" customHeight="1">
      <c r="A77" s="690"/>
      <c r="B77" s="641" t="str">
        <v>07</v>
      </c>
      <c r="C77" s="264" t="str">
        <v>100 &lt; DN[mm] ≤ 200</v>
      </c>
      <c r="D77" s="7" t="str">
        <f t="shared" si="0"/>
        <v>[km]</v>
      </c>
      <c r="E77" s="153"/>
      <c r="F77" s="277"/>
      <c r="G77" s="277"/>
      <c r="H77" s="690"/>
      <c r="I77" s="690"/>
      <c r="J77" s="690"/>
      <c r="K77" s="690"/>
    </row>
    <row r="78" spans="1:11" ht="18.899999999999999" customHeight="1">
      <c r="A78" s="690"/>
      <c r="B78" s="642" t="str">
        <v>08</v>
      </c>
      <c r="C78" s="267" t="str">
        <v>DN[mm] ≤ 100</v>
      </c>
      <c r="D78" s="8" t="str">
        <f t="shared" si="0"/>
        <v>[km]</v>
      </c>
      <c r="E78" s="154"/>
      <c r="F78" s="277"/>
      <c r="G78" s="277"/>
      <c r="H78" s="690"/>
      <c r="I78" s="690"/>
      <c r="J78" s="690"/>
      <c r="K78" s="690"/>
    </row>
    <row r="79" spans="1:11" ht="18.899999999999999" customHeight="1">
      <c r="A79" s="690"/>
      <c r="B79" s="643" t="str">
        <v>09</v>
      </c>
      <c r="C79" s="262" t="str">
        <v>z tworzyw sztucznych (np. polietylenu)</v>
      </c>
      <c r="D79" s="9" t="str">
        <f t="shared" si="0"/>
        <v>[km]</v>
      </c>
      <c r="E79" s="155">
        <f>SUM(E80:E83)</f>
        <v>0</v>
      </c>
      <c r="F79" s="277"/>
      <c r="G79" s="277"/>
      <c r="H79" s="690"/>
      <c r="I79" s="690"/>
      <c r="J79" s="690"/>
      <c r="K79" s="690"/>
    </row>
    <row r="80" spans="1:11" ht="18.899999999999999" customHeight="1">
      <c r="A80" s="690"/>
      <c r="B80" s="640" t="str">
        <v>10</v>
      </c>
      <c r="C80" s="263" t="str">
        <v>300 &lt; DN[mm]</v>
      </c>
      <c r="D80" s="6" t="str">
        <f t="shared" si="0"/>
        <v>[km]</v>
      </c>
      <c r="E80" s="152"/>
      <c r="F80" s="277"/>
      <c r="G80" s="277"/>
      <c r="H80" s="690"/>
      <c r="I80" s="690"/>
      <c r="J80" s="690"/>
      <c r="K80" s="690"/>
    </row>
    <row r="81" spans="1:11" ht="18.899999999999999" customHeight="1">
      <c r="A81" s="690"/>
      <c r="B81" s="641" t="str">
        <v>11</v>
      </c>
      <c r="C81" s="264" t="str">
        <v>200 &lt; DN[mm] ≤ 300</v>
      </c>
      <c r="D81" s="7" t="str">
        <f t="shared" si="0"/>
        <v>[km]</v>
      </c>
      <c r="E81" s="153"/>
      <c r="F81" s="277"/>
      <c r="G81" s="277"/>
      <c r="H81" s="690"/>
      <c r="I81" s="690"/>
      <c r="J81" s="690"/>
      <c r="K81" s="690"/>
    </row>
    <row r="82" spans="1:11" ht="18.899999999999999" customHeight="1">
      <c r="A82" s="690"/>
      <c r="B82" s="641" t="str">
        <v>12</v>
      </c>
      <c r="C82" s="264" t="str">
        <v>100 &lt; DN[mm] ≤ 200</v>
      </c>
      <c r="D82" s="7" t="str">
        <f t="shared" si="0"/>
        <v>[km]</v>
      </c>
      <c r="E82" s="153"/>
      <c r="F82" s="277"/>
      <c r="G82" s="277"/>
      <c r="H82" s="690"/>
      <c r="I82" s="690"/>
      <c r="J82" s="690"/>
      <c r="K82" s="690"/>
    </row>
    <row r="83" spans="1:11" ht="18.899999999999999" customHeight="1" thickBot="1">
      <c r="A83" s="690"/>
      <c r="B83" s="644" t="str">
        <v>13</v>
      </c>
      <c r="C83" s="268" t="str">
        <v>DN[mm] ≤ 100</v>
      </c>
      <c r="D83" s="10" t="str">
        <f t="shared" si="0"/>
        <v>[km]</v>
      </c>
      <c r="E83" s="156"/>
      <c r="F83" s="277"/>
      <c r="G83" s="277"/>
      <c r="H83" s="690"/>
      <c r="I83" s="690"/>
      <c r="J83" s="690"/>
      <c r="K83" s="690"/>
    </row>
    <row r="84" spans="1:11" ht="18.899999999999999" customHeight="1" thickBot="1">
      <c r="A84" s="690"/>
      <c r="B84" s="638" t="str">
        <v>14</v>
      </c>
      <c r="C84" s="11" t="str">
        <v>A2. Gazociągi średniego i niskiego ciśnienia</v>
      </c>
      <c r="D84" s="4" t="str">
        <f t="shared" si="0"/>
        <v>[km]</v>
      </c>
      <c r="E84" s="150">
        <f>SUM(E85,E90)</f>
        <v>0</v>
      </c>
      <c r="F84" s="277"/>
      <c r="G84" s="277"/>
      <c r="H84" s="690"/>
      <c r="I84" s="690"/>
      <c r="J84" s="690"/>
      <c r="K84" s="690"/>
    </row>
    <row r="85" spans="1:11" ht="18.899999999999999" customHeight="1">
      <c r="A85" s="690"/>
      <c r="B85" s="639" t="str">
        <v>15</v>
      </c>
      <c r="C85" s="261" t="str">
        <v>ze stali</v>
      </c>
      <c r="D85" s="5" t="str">
        <f t="shared" si="0"/>
        <v>[km]</v>
      </c>
      <c r="E85" s="151">
        <f>SUM(E86:E89)</f>
        <v>0</v>
      </c>
      <c r="F85" s="277"/>
      <c r="G85" s="277"/>
      <c r="H85" s="690"/>
      <c r="I85" s="690"/>
      <c r="J85" s="690"/>
      <c r="K85" s="690"/>
    </row>
    <row r="86" spans="1:11" ht="18.899999999999999" customHeight="1">
      <c r="A86" s="690"/>
      <c r="B86" s="640" t="str">
        <v>16</v>
      </c>
      <c r="C86" s="263" t="str">
        <v>200 &lt; DN[mm]</v>
      </c>
      <c r="D86" s="6" t="str">
        <f t="shared" si="0"/>
        <v>[km]</v>
      </c>
      <c r="E86" s="152"/>
      <c r="F86" s="277"/>
      <c r="G86" s="277"/>
      <c r="H86" s="690"/>
      <c r="I86" s="690"/>
      <c r="J86" s="690"/>
      <c r="K86" s="690"/>
    </row>
    <row r="87" spans="1:11" ht="18.899999999999999" customHeight="1">
      <c r="A87" s="690"/>
      <c r="B87" s="641" t="str">
        <v>17</v>
      </c>
      <c r="C87" s="264" t="str">
        <v>100 &lt; DN[mm] ≤ 200</v>
      </c>
      <c r="D87" s="7" t="str">
        <f t="shared" si="0"/>
        <v>[km]</v>
      </c>
      <c r="E87" s="153"/>
      <c r="F87" s="277"/>
      <c r="G87" s="277"/>
      <c r="H87" s="690"/>
      <c r="I87" s="690"/>
      <c r="J87" s="690"/>
      <c r="K87" s="690"/>
    </row>
    <row r="88" spans="1:11" ht="18.899999999999999" customHeight="1">
      <c r="A88" s="690"/>
      <c r="B88" s="641" t="str">
        <v>18</v>
      </c>
      <c r="C88" s="265" t="str">
        <v>63 &lt; DN[mm] ≤ 100</v>
      </c>
      <c r="D88" s="7" t="str">
        <f t="shared" si="0"/>
        <v>[km]</v>
      </c>
      <c r="E88" s="153"/>
      <c r="F88" s="277"/>
      <c r="G88" s="277"/>
      <c r="H88" s="690"/>
      <c r="I88" s="690"/>
      <c r="J88" s="690"/>
      <c r="K88" s="690"/>
    </row>
    <row r="89" spans="1:11" ht="18.899999999999999" customHeight="1">
      <c r="A89" s="690"/>
      <c r="B89" s="642" t="str">
        <v>19</v>
      </c>
      <c r="C89" s="267" t="str">
        <v>DN[mm] ≤ 63</v>
      </c>
      <c r="D89" s="8" t="str">
        <f t="shared" si="0"/>
        <v>[km]</v>
      </c>
      <c r="E89" s="154"/>
      <c r="F89" s="277"/>
      <c r="G89" s="277"/>
      <c r="H89" s="690"/>
      <c r="I89" s="690"/>
      <c r="J89" s="690"/>
      <c r="K89" s="690"/>
    </row>
    <row r="90" spans="1:11" ht="18.899999999999999" customHeight="1">
      <c r="A90" s="690"/>
      <c r="B90" s="643" t="str">
        <v>20</v>
      </c>
      <c r="C90" s="262" t="str">
        <v>z tworzyw sztucznych (np. polietylenu)</v>
      </c>
      <c r="D90" s="9" t="str">
        <f t="shared" si="0"/>
        <v>[km]</v>
      </c>
      <c r="E90" s="155">
        <f>SUM(E91:E94)</f>
        <v>0</v>
      </c>
      <c r="F90" s="277"/>
      <c r="G90" s="277"/>
      <c r="H90" s="690"/>
      <c r="I90" s="690"/>
      <c r="J90" s="690"/>
      <c r="K90" s="690"/>
    </row>
    <row r="91" spans="1:11" ht="18.899999999999999" customHeight="1">
      <c r="A91" s="690"/>
      <c r="B91" s="640" t="str">
        <v>21</v>
      </c>
      <c r="C91" s="263" t="str">
        <v>200 &lt; DN[mm]</v>
      </c>
      <c r="D91" s="6" t="str">
        <f t="shared" si="0"/>
        <v>[km]</v>
      </c>
      <c r="E91" s="152"/>
      <c r="F91" s="277"/>
      <c r="G91" s="277"/>
      <c r="H91" s="690"/>
      <c r="I91" s="690"/>
      <c r="J91" s="690"/>
      <c r="K91" s="690"/>
    </row>
    <row r="92" spans="1:11" ht="18.899999999999999" customHeight="1">
      <c r="A92" s="690"/>
      <c r="B92" s="641" t="str">
        <v>22</v>
      </c>
      <c r="C92" s="264" t="str">
        <v>100 &lt; DN[mm] ≤ 200</v>
      </c>
      <c r="D92" s="7" t="str">
        <f t="shared" si="0"/>
        <v>[km]</v>
      </c>
      <c r="E92" s="153"/>
      <c r="F92" s="277"/>
      <c r="G92" s="277"/>
      <c r="H92" s="690"/>
      <c r="I92" s="690"/>
      <c r="J92" s="690"/>
      <c r="K92" s="690"/>
    </row>
    <row r="93" spans="1:11" ht="18.899999999999999" customHeight="1">
      <c r="A93" s="690"/>
      <c r="B93" s="641" t="str">
        <v>23</v>
      </c>
      <c r="C93" s="265" t="str">
        <v>63 &lt; DN[mm] ≤ 100</v>
      </c>
      <c r="D93" s="7" t="str">
        <f t="shared" si="0"/>
        <v>[km]</v>
      </c>
      <c r="E93" s="153"/>
      <c r="F93" s="277"/>
      <c r="G93" s="277"/>
      <c r="H93" s="690"/>
      <c r="I93" s="690"/>
      <c r="J93" s="690"/>
      <c r="K93" s="690"/>
    </row>
    <row r="94" spans="1:11" ht="18.899999999999999" customHeight="1" thickBot="1">
      <c r="A94" s="690"/>
      <c r="B94" s="644" t="str">
        <v>24</v>
      </c>
      <c r="C94" s="268" t="str">
        <v>DN[mm] ≤ 63</v>
      </c>
      <c r="D94" s="10" t="str">
        <f t="shared" si="0"/>
        <v>[km]</v>
      </c>
      <c r="E94" s="156"/>
      <c r="F94" s="277"/>
      <c r="G94" s="277"/>
      <c r="H94" s="690"/>
      <c r="I94" s="690"/>
      <c r="J94" s="690"/>
      <c r="K94" s="690"/>
    </row>
    <row r="95" spans="1:11" ht="18.899999999999999" customHeight="1" thickBot="1">
      <c r="A95" s="690"/>
      <c r="B95" s="638" t="str">
        <v>25</v>
      </c>
      <c r="C95" s="11" t="str">
        <v>A3. przyłącza</v>
      </c>
      <c r="D95" s="4" t="str">
        <f t="shared" si="0"/>
        <v>[km]</v>
      </c>
      <c r="E95" s="150">
        <f>SUM(E96,E101)</f>
        <v>0</v>
      </c>
      <c r="F95" s="277"/>
      <c r="G95" s="277"/>
      <c r="H95" s="690"/>
      <c r="I95" s="690"/>
      <c r="J95" s="690"/>
      <c r="K95" s="690"/>
    </row>
    <row r="96" spans="1:11" ht="18.899999999999999" customHeight="1">
      <c r="A96" s="690"/>
      <c r="B96" s="639" t="str">
        <v>26</v>
      </c>
      <c r="C96" s="261" t="str">
        <v>ze stali</v>
      </c>
      <c r="D96" s="5" t="str">
        <f t="shared" si="0"/>
        <v>[km]</v>
      </c>
      <c r="E96" s="151">
        <f>SUM(E97:E100)</f>
        <v>0</v>
      </c>
      <c r="F96" s="277"/>
      <c r="G96" s="277"/>
      <c r="H96" s="690"/>
      <c r="I96" s="690"/>
      <c r="J96" s="690"/>
      <c r="K96" s="690"/>
    </row>
    <row r="97" spans="1:11" ht="18.899999999999999" customHeight="1">
      <c r="A97" s="690"/>
      <c r="B97" s="640" t="str">
        <v>27</v>
      </c>
      <c r="C97" s="263" t="str">
        <v>100 &lt; DN[mm]</v>
      </c>
      <c r="D97" s="6" t="str">
        <f t="shared" si="0"/>
        <v>[km]</v>
      </c>
      <c r="E97" s="152"/>
      <c r="F97" s="277"/>
      <c r="G97" s="277"/>
      <c r="H97" s="690"/>
      <c r="I97" s="690"/>
      <c r="J97" s="690"/>
      <c r="K97" s="690"/>
    </row>
    <row r="98" spans="1:11" ht="18.899999999999999" customHeight="1">
      <c r="A98" s="690"/>
      <c r="B98" s="641" t="str">
        <v>28</v>
      </c>
      <c r="C98" s="265" t="str">
        <v>63 &lt; DN[mm] ≤ 100</v>
      </c>
      <c r="D98" s="7" t="str">
        <f t="shared" si="0"/>
        <v>[km]</v>
      </c>
      <c r="E98" s="153"/>
      <c r="F98" s="277"/>
      <c r="G98" s="277"/>
      <c r="H98" s="690"/>
      <c r="I98" s="690"/>
      <c r="J98" s="690"/>
      <c r="K98" s="690"/>
    </row>
    <row r="99" spans="1:11" ht="18.899999999999999" customHeight="1">
      <c r="A99" s="690"/>
      <c r="B99" s="641" t="str">
        <v>29</v>
      </c>
      <c r="C99" s="265" t="str">
        <v>32 &lt; DN[mm] ≤ 63</v>
      </c>
      <c r="D99" s="7" t="str">
        <f t="shared" si="0"/>
        <v>[km]</v>
      </c>
      <c r="E99" s="153"/>
      <c r="F99" s="277"/>
      <c r="G99" s="277"/>
      <c r="H99" s="690"/>
      <c r="I99" s="690"/>
      <c r="J99" s="690"/>
      <c r="K99" s="690"/>
    </row>
    <row r="100" spans="1:11" ht="18.899999999999999" customHeight="1">
      <c r="A100" s="690"/>
      <c r="B100" s="642" t="str">
        <v>30</v>
      </c>
      <c r="C100" s="272" t="str">
        <v>DN[mm] ≤ 32</v>
      </c>
      <c r="D100" s="8" t="str">
        <f t="shared" si="0"/>
        <v>[km]</v>
      </c>
      <c r="E100" s="154"/>
      <c r="F100" s="277"/>
      <c r="G100" s="277"/>
      <c r="H100" s="690"/>
      <c r="I100" s="690"/>
      <c r="J100" s="690"/>
      <c r="K100" s="690"/>
    </row>
    <row r="101" spans="1:11" ht="18.899999999999999" customHeight="1">
      <c r="A101" s="690"/>
      <c r="B101" s="643" t="str">
        <v>31</v>
      </c>
      <c r="C101" s="262" t="str">
        <v>z tworzyw sztucznych (np. polietylenu)</v>
      </c>
      <c r="D101" s="9" t="str">
        <f t="shared" si="0"/>
        <v>[km]</v>
      </c>
      <c r="E101" s="155">
        <f>SUM(E102:E105)</f>
        <v>0</v>
      </c>
      <c r="F101" s="277"/>
      <c r="G101" s="277"/>
      <c r="H101" s="690"/>
      <c r="I101" s="690"/>
      <c r="J101" s="690"/>
      <c r="K101" s="690"/>
    </row>
    <row r="102" spans="1:11" ht="18.899999999999999" customHeight="1">
      <c r="A102" s="690"/>
      <c r="B102" s="640" t="str">
        <v>32</v>
      </c>
      <c r="C102" s="263" t="str">
        <v>100 &lt; DN[mm]</v>
      </c>
      <c r="D102" s="6" t="str">
        <f t="shared" si="0"/>
        <v>[km]</v>
      </c>
      <c r="E102" s="152"/>
      <c r="F102" s="277"/>
      <c r="G102" s="277"/>
      <c r="H102" s="690"/>
      <c r="I102" s="690"/>
      <c r="J102" s="690"/>
      <c r="K102" s="690"/>
    </row>
    <row r="103" spans="1:11" ht="18.899999999999999" customHeight="1">
      <c r="A103" s="690"/>
      <c r="B103" s="641" t="str">
        <v>33</v>
      </c>
      <c r="C103" s="265" t="str">
        <v>63 &lt; DN[mm] ≤ 100</v>
      </c>
      <c r="D103" s="7" t="str">
        <f t="shared" si="0"/>
        <v>[km]</v>
      </c>
      <c r="E103" s="153"/>
      <c r="F103" s="277"/>
      <c r="G103" s="277"/>
      <c r="H103" s="690"/>
      <c r="I103" s="690"/>
      <c r="J103" s="690"/>
      <c r="K103" s="690"/>
    </row>
    <row r="104" spans="1:11" ht="18.899999999999999" customHeight="1">
      <c r="A104" s="690"/>
      <c r="B104" s="641" t="str">
        <v>34</v>
      </c>
      <c r="C104" s="265" t="str">
        <v>32 &lt; DN[mm] ≤ 63</v>
      </c>
      <c r="D104" s="7" t="str">
        <f t="shared" si="0"/>
        <v>[km]</v>
      </c>
      <c r="E104" s="153"/>
      <c r="F104" s="277"/>
      <c r="G104" s="277"/>
      <c r="H104" s="690"/>
      <c r="I104" s="690"/>
      <c r="J104" s="690"/>
      <c r="K104" s="690"/>
    </row>
    <row r="105" spans="1:11" ht="18.899999999999999" customHeight="1" thickBot="1">
      <c r="A105" s="690"/>
      <c r="B105" s="644" t="str">
        <v>35</v>
      </c>
      <c r="C105" s="844" t="str">
        <v>DN[mm] ≤ 32</v>
      </c>
      <c r="D105" s="10" t="str">
        <f t="shared" si="0"/>
        <v>[km]</v>
      </c>
      <c r="E105" s="156"/>
      <c r="F105" s="277"/>
      <c r="G105" s="277"/>
      <c r="H105" s="690"/>
      <c r="I105" s="690"/>
      <c r="J105" s="690"/>
      <c r="K105" s="690"/>
    </row>
    <row r="106" spans="1:11" ht="18.899999999999999" customHeight="1" thickBot="1">
      <c r="A106" s="690"/>
      <c r="B106" s="646" t="str">
        <v>36</v>
      </c>
      <c r="C106" s="1" t="str">
        <v>B. STACJE GAZOWE, TŁOCZNIE I WĘZŁY</v>
      </c>
      <c r="D106" s="2" t="str">
        <f>"[szt.]"</f>
        <v>[szt.]</v>
      </c>
      <c r="E106" s="149">
        <f>SUM(E107,E111,E115,E119:E120)</f>
        <v>0</v>
      </c>
      <c r="F106" s="277"/>
      <c r="G106" s="277"/>
      <c r="H106" s="690"/>
      <c r="I106" s="690"/>
      <c r="J106" s="690"/>
      <c r="K106" s="690"/>
    </row>
    <row r="107" spans="1:11" ht="18.899999999999999" customHeight="1">
      <c r="A107" s="690"/>
      <c r="B107" s="639" t="str">
        <v>37</v>
      </c>
      <c r="C107" s="12" t="str">
        <v>B1. stacje redukcyjno-pomiarowe I°</v>
      </c>
      <c r="D107" s="5" t="str">
        <f t="shared" ref="D107:D127" si="1">$D$106</f>
        <v>[szt.]</v>
      </c>
      <c r="E107" s="151">
        <f>SUM(E108:E110)</f>
        <v>0</v>
      </c>
      <c r="F107" s="277"/>
      <c r="G107" s="277"/>
      <c r="H107" s="690"/>
      <c r="I107" s="690"/>
      <c r="J107" s="690"/>
      <c r="K107" s="690"/>
    </row>
    <row r="108" spans="1:11" ht="18.899999999999999" customHeight="1">
      <c r="A108" s="690"/>
      <c r="B108" s="640" t="str">
        <v>38</v>
      </c>
      <c r="C108" s="263" t="str">
        <v>3000 &lt; Q[m³/h]</v>
      </c>
      <c r="D108" s="6" t="str">
        <f t="shared" si="1"/>
        <v>[szt.]</v>
      </c>
      <c r="E108" s="152"/>
      <c r="F108" s="277"/>
      <c r="G108" s="277"/>
      <c r="H108" s="690"/>
      <c r="I108" s="690"/>
      <c r="J108" s="690"/>
      <c r="K108" s="690"/>
    </row>
    <row r="109" spans="1:11" ht="18.899999999999999" customHeight="1">
      <c r="A109" s="690"/>
      <c r="B109" s="641" t="str">
        <v>39</v>
      </c>
      <c r="C109" s="264" t="str">
        <v>1000 &lt; Q[m³/h] ≤ 3000</v>
      </c>
      <c r="D109" s="7" t="str">
        <f t="shared" si="1"/>
        <v>[szt.]</v>
      </c>
      <c r="E109" s="153"/>
      <c r="F109" s="277"/>
      <c r="G109" s="277"/>
      <c r="H109" s="690"/>
      <c r="I109" s="690"/>
      <c r="J109" s="690"/>
      <c r="K109" s="690"/>
    </row>
    <row r="110" spans="1:11" ht="18.899999999999999" customHeight="1">
      <c r="A110" s="690"/>
      <c r="B110" s="642" t="str">
        <v>40</v>
      </c>
      <c r="C110" s="272" t="str">
        <v>Q[m³/h] ≤ 1000</v>
      </c>
      <c r="D110" s="8" t="str">
        <f t="shared" si="1"/>
        <v>[szt.]</v>
      </c>
      <c r="E110" s="154"/>
      <c r="F110" s="277"/>
      <c r="G110" s="277"/>
      <c r="H110" s="690"/>
      <c r="I110" s="690"/>
      <c r="J110" s="690"/>
      <c r="K110" s="690"/>
    </row>
    <row r="111" spans="1:11" ht="18.899999999999999" customHeight="1">
      <c r="A111" s="690"/>
      <c r="B111" s="643" t="str">
        <v>41</v>
      </c>
      <c r="C111" s="13" t="str">
        <v>B2. stacje redukcyjno-pomiarowe II°</v>
      </c>
      <c r="D111" s="9" t="str">
        <f t="shared" si="1"/>
        <v>[szt.]</v>
      </c>
      <c r="E111" s="155">
        <f>SUM(E112:E114)</f>
        <v>0</v>
      </c>
      <c r="F111" s="277"/>
      <c r="G111" s="277"/>
      <c r="H111" s="690"/>
      <c r="I111" s="690"/>
      <c r="J111" s="690"/>
      <c r="K111" s="690"/>
    </row>
    <row r="112" spans="1:11" ht="18.899999999999999" customHeight="1">
      <c r="A112" s="690"/>
      <c r="B112" s="640" t="str">
        <v>42</v>
      </c>
      <c r="C112" s="263" t="str">
        <v>1000 &lt; Q[m³/h]</v>
      </c>
      <c r="D112" s="6" t="str">
        <f t="shared" si="1"/>
        <v>[szt.]</v>
      </c>
      <c r="E112" s="152"/>
      <c r="F112" s="277"/>
      <c r="G112" s="277"/>
      <c r="H112" s="690"/>
      <c r="I112" s="690"/>
      <c r="J112" s="690"/>
      <c r="K112" s="690"/>
    </row>
    <row r="113" spans="1:11" ht="18.899999999999999" customHeight="1">
      <c r="A113" s="690"/>
      <c r="B113" s="641" t="str">
        <v>43</v>
      </c>
      <c r="C113" s="265" t="str">
        <v>300 &lt; Q[m³/h] ≤ 1000</v>
      </c>
      <c r="D113" s="7" t="str">
        <f t="shared" si="1"/>
        <v>[szt.]</v>
      </c>
      <c r="E113" s="153"/>
      <c r="F113" s="277"/>
      <c r="G113" s="277"/>
      <c r="H113" s="690"/>
      <c r="I113" s="690"/>
      <c r="J113" s="690"/>
      <c r="K113" s="690"/>
    </row>
    <row r="114" spans="1:11" ht="18.899999999999999" customHeight="1">
      <c r="A114" s="690"/>
      <c r="B114" s="642" t="str">
        <v>44</v>
      </c>
      <c r="C114" s="272" t="str">
        <v>Q[m³/h] ≤ 300</v>
      </c>
      <c r="D114" s="8" t="str">
        <f t="shared" si="1"/>
        <v>[szt.]</v>
      </c>
      <c r="E114" s="154"/>
      <c r="F114" s="277"/>
      <c r="G114" s="277"/>
      <c r="H114" s="690"/>
      <c r="I114" s="690"/>
      <c r="J114" s="690"/>
      <c r="K114" s="690"/>
    </row>
    <row r="115" spans="1:11" ht="18.899999999999999" customHeight="1">
      <c r="A115" s="690"/>
      <c r="B115" s="643" t="str">
        <v>45</v>
      </c>
      <c r="C115" s="13" t="str">
        <v>B3. stacje LNG</v>
      </c>
      <c r="D115" s="9" t="str">
        <f t="shared" si="1"/>
        <v>[szt.]</v>
      </c>
      <c r="E115" s="155">
        <f>SUM(E116:E118)</f>
        <v>0</v>
      </c>
      <c r="F115" s="277"/>
      <c r="G115" s="277"/>
      <c r="H115" s="690"/>
      <c r="I115" s="690"/>
      <c r="J115" s="690"/>
      <c r="K115" s="690"/>
    </row>
    <row r="116" spans="1:11" ht="18.899999999999999" customHeight="1">
      <c r="A116" s="690"/>
      <c r="B116" s="640" t="str">
        <v>46</v>
      </c>
      <c r="C116" s="263" t="str">
        <v>1000 &lt; Q[m³/h]</v>
      </c>
      <c r="D116" s="6" t="str">
        <f t="shared" si="1"/>
        <v>[szt.]</v>
      </c>
      <c r="E116" s="152"/>
      <c r="F116" s="277"/>
      <c r="G116" s="277"/>
      <c r="H116" s="690"/>
      <c r="I116" s="690"/>
      <c r="J116" s="690"/>
      <c r="K116" s="690"/>
    </row>
    <row r="117" spans="1:11" ht="18.899999999999999" customHeight="1">
      <c r="A117" s="690"/>
      <c r="B117" s="641" t="str">
        <v>47</v>
      </c>
      <c r="C117" s="265" t="str">
        <v>300 &lt; Q[m³/h] ≤ 1000</v>
      </c>
      <c r="D117" s="7" t="str">
        <f t="shared" si="1"/>
        <v>[szt.]</v>
      </c>
      <c r="E117" s="153"/>
      <c r="F117" s="277"/>
      <c r="G117" s="277"/>
      <c r="H117" s="690"/>
      <c r="I117" s="690"/>
      <c r="J117" s="690"/>
      <c r="K117" s="690"/>
    </row>
    <row r="118" spans="1:11" ht="18.899999999999999" customHeight="1">
      <c r="A118" s="690"/>
      <c r="B118" s="642" t="str">
        <v>48</v>
      </c>
      <c r="C118" s="272" t="str">
        <v>Q[m³/h] ≤ 300</v>
      </c>
      <c r="D118" s="8" t="str">
        <f t="shared" si="1"/>
        <v>[szt.]</v>
      </c>
      <c r="E118" s="154"/>
      <c r="F118" s="277"/>
      <c r="G118" s="277"/>
      <c r="H118" s="690"/>
      <c r="I118" s="690"/>
      <c r="J118" s="690"/>
      <c r="K118" s="690"/>
    </row>
    <row r="119" spans="1:11" ht="18.899999999999999" customHeight="1">
      <c r="A119" s="690"/>
      <c r="B119" s="647" t="str">
        <v>49</v>
      </c>
      <c r="C119" s="14" t="str">
        <v>B4. tłocznie gazu</v>
      </c>
      <c r="D119" s="15" t="str">
        <f t="shared" si="1"/>
        <v>[szt.]</v>
      </c>
      <c r="E119" s="155"/>
      <c r="F119" s="277"/>
      <c r="G119" s="277"/>
      <c r="H119" s="690"/>
      <c r="I119" s="690"/>
      <c r="J119" s="690"/>
      <c r="K119" s="690"/>
    </row>
    <row r="120" spans="1:11" ht="18.899999999999999" customHeight="1" thickBot="1">
      <c r="A120" s="690"/>
      <c r="B120" s="648" t="str">
        <v>50</v>
      </c>
      <c r="C120" s="16" t="str">
        <v>B5. węzły</v>
      </c>
      <c r="D120" s="17" t="str">
        <f t="shared" si="1"/>
        <v>[szt.]</v>
      </c>
      <c r="E120" s="157"/>
      <c r="F120" s="277"/>
      <c r="G120" s="277"/>
      <c r="H120" s="690"/>
      <c r="I120" s="690"/>
      <c r="J120" s="690"/>
      <c r="K120" s="690"/>
    </row>
    <row r="121" spans="1:11" ht="18.899999999999999" customHeight="1" thickBot="1">
      <c r="A121" s="690"/>
      <c r="B121" s="646" t="str">
        <v>51</v>
      </c>
      <c r="C121" s="1" t="str">
        <v>C. GAZOMIERZE I UKŁADY POMIAROWE</v>
      </c>
      <c r="D121" s="2" t="str">
        <f t="shared" si="1"/>
        <v>[szt.]</v>
      </c>
      <c r="E121" s="149">
        <f>SUM(E122,E125:E127)</f>
        <v>0</v>
      </c>
      <c r="F121" s="690"/>
      <c r="G121" s="690"/>
      <c r="H121" s="690"/>
      <c r="I121" s="690"/>
      <c r="J121" s="690"/>
      <c r="K121" s="690"/>
    </row>
    <row r="122" spans="1:11" ht="18.899999999999999" customHeight="1">
      <c r="A122" s="690"/>
      <c r="B122" s="639" t="str">
        <v>52</v>
      </c>
      <c r="C122" s="12" t="str">
        <v>C1. Gazomierze miechowe</v>
      </c>
      <c r="D122" s="5" t="str">
        <f t="shared" si="1"/>
        <v>[szt.]</v>
      </c>
      <c r="E122" s="151">
        <f>SUM(E123:E124)</f>
        <v>0</v>
      </c>
      <c r="F122" s="690"/>
      <c r="G122" s="690"/>
      <c r="H122" s="690"/>
      <c r="I122" s="690"/>
      <c r="J122" s="690"/>
      <c r="K122" s="690"/>
    </row>
    <row r="123" spans="1:11" ht="18.899999999999999" customHeight="1">
      <c r="A123" s="690"/>
      <c r="B123" s="640" t="str">
        <v>53</v>
      </c>
      <c r="C123" s="266" t="str">
        <v>G1.6 ÷ G6 (nowe)</v>
      </c>
      <c r="D123" s="6" t="str">
        <f t="shared" si="1"/>
        <v>[szt.]</v>
      </c>
      <c r="E123" s="152"/>
      <c r="F123" s="690"/>
      <c r="G123" s="690"/>
      <c r="H123" s="690"/>
      <c r="I123" s="690"/>
      <c r="J123" s="690"/>
      <c r="K123" s="690"/>
    </row>
    <row r="124" spans="1:11" ht="18.899999999999999" customHeight="1">
      <c r="A124" s="690"/>
      <c r="B124" s="645" t="str">
        <v>54</v>
      </c>
      <c r="C124" s="269" t="str">
        <v>G10 ÷ G650 (nowe)</v>
      </c>
      <c r="D124" s="270" t="str">
        <f t="shared" si="1"/>
        <v>[szt.]</v>
      </c>
      <c r="E124" s="271"/>
      <c r="F124" s="690"/>
      <c r="G124" s="690"/>
      <c r="H124" s="690"/>
      <c r="I124" s="690"/>
      <c r="J124" s="690"/>
      <c r="K124" s="690"/>
    </row>
    <row r="125" spans="1:11" ht="18.899999999999999" customHeight="1">
      <c r="A125" s="690"/>
      <c r="B125" s="643" t="str">
        <v>55</v>
      </c>
      <c r="C125" s="13" t="str">
        <v>C2. Gazomierze turbinowe</v>
      </c>
      <c r="D125" s="9" t="str">
        <f t="shared" si="1"/>
        <v>[szt.]</v>
      </c>
      <c r="E125" s="155"/>
      <c r="F125" s="690"/>
      <c r="G125" s="690"/>
      <c r="H125" s="690"/>
      <c r="I125" s="690"/>
      <c r="J125" s="690"/>
      <c r="K125" s="690"/>
    </row>
    <row r="126" spans="1:11" ht="18.899999999999999" customHeight="1">
      <c r="A126" s="690"/>
      <c r="B126" s="643" t="str">
        <v>56</v>
      </c>
      <c r="C126" s="13" t="str">
        <v>C3. Gazomierze rotorowe</v>
      </c>
      <c r="D126" s="9" t="str">
        <f t="shared" si="1"/>
        <v>[szt.]</v>
      </c>
      <c r="E126" s="155"/>
      <c r="F126" s="690"/>
      <c r="G126" s="690"/>
      <c r="H126" s="690"/>
      <c r="I126" s="690"/>
      <c r="J126" s="690"/>
      <c r="K126" s="690"/>
    </row>
    <row r="127" spans="1:11" ht="18.899999999999999" customHeight="1" thickBot="1">
      <c r="A127" s="690"/>
      <c r="B127" s="648" t="str">
        <v>57</v>
      </c>
      <c r="C127" s="16" t="str">
        <v xml:space="preserve">C4. Inne </v>
      </c>
      <c r="D127" s="17" t="str">
        <f t="shared" si="1"/>
        <v>[szt.]</v>
      </c>
      <c r="E127" s="157"/>
      <c r="F127" s="690"/>
      <c r="G127" s="690"/>
      <c r="H127" s="690"/>
      <c r="I127" s="690"/>
      <c r="J127" s="690"/>
      <c r="K127" s="690"/>
    </row>
    <row r="128" spans="1:11" ht="18.899999999999999" customHeight="1">
      <c r="A128" s="690"/>
      <c r="B128" s="690"/>
      <c r="C128" s="690"/>
      <c r="D128" s="690"/>
      <c r="E128" s="690"/>
      <c r="F128" s="690"/>
      <c r="G128" s="690"/>
      <c r="H128" s="690"/>
      <c r="I128" s="690"/>
      <c r="J128" s="690"/>
      <c r="K128" s="690"/>
    </row>
    <row r="129" spans="1:11" ht="18.899999999999999" customHeight="1">
      <c r="A129" s="690"/>
      <c r="B129" s="690"/>
      <c r="C129" s="690"/>
      <c r="D129" s="690"/>
      <c r="E129" s="690"/>
      <c r="F129" s="690"/>
      <c r="G129" s="690"/>
      <c r="H129" s="690"/>
      <c r="I129" s="690"/>
      <c r="J129" s="690"/>
      <c r="K129" s="690"/>
    </row>
    <row r="130" spans="1:11" ht="30" customHeight="1" thickBot="1">
      <c r="A130" s="690"/>
      <c r="B130" s="700" t="s">
        <v>138</v>
      </c>
      <c r="C130" s="690"/>
      <c r="D130" s="690"/>
      <c r="E130" s="690"/>
      <c r="F130" s="690"/>
      <c r="G130" s="690"/>
      <c r="H130" s="690"/>
      <c r="I130" s="690"/>
      <c r="J130" s="690"/>
      <c r="K130" s="690"/>
    </row>
    <row r="131" spans="1:11" ht="18.899999999999999" customHeight="1">
      <c r="A131" s="690"/>
      <c r="B131" s="996" t="str">
        <f>'Tab.G1.1-4'!$B$8</f>
        <v>LP</v>
      </c>
      <c r="C131" s="1003" t="str">
        <f>'Tab.G1.1-4'!$C$8</f>
        <v>Wyszczególnienie</v>
      </c>
      <c r="D131" s="999"/>
      <c r="E131" s="632" t="str">
        <f>'Tab.G1.1-4'!$E$8</f>
        <v>Wykonanie</v>
      </c>
      <c r="F131" s="277"/>
      <c r="G131" s="277"/>
      <c r="H131" s="690"/>
      <c r="I131" s="690"/>
      <c r="J131" s="690"/>
      <c r="K131" s="690"/>
    </row>
    <row r="132" spans="1:11" ht="18.899999999999999" customHeight="1">
      <c r="A132" s="690"/>
      <c r="B132" s="997"/>
      <c r="C132" s="1004"/>
      <c r="D132" s="1001"/>
      <c r="E132" s="633">
        <f>Rok_ZPR</f>
        <v>2020</v>
      </c>
      <c r="F132" s="277"/>
      <c r="G132" s="277"/>
      <c r="H132" s="690"/>
      <c r="I132" s="690"/>
      <c r="J132" s="690"/>
      <c r="K132" s="690"/>
    </row>
    <row r="133" spans="1:11" ht="14.1" customHeight="1" thickBot="1">
      <c r="A133" s="690"/>
      <c r="B133" s="649" t="str">
        <f t="array" ref="B133:B189">Tab.G17!$B$10:$B$66</f>
        <v>01</v>
      </c>
      <c r="C133" s="994" t="str">
        <f>Tab.G17!$B$11</f>
        <v>02</v>
      </c>
      <c r="D133" s="995"/>
      <c r="E133" s="650" t="str">
        <f>Tab.G17!$B$12</f>
        <v>03</v>
      </c>
      <c r="F133" s="277"/>
      <c r="G133" s="277"/>
      <c r="H133" s="690"/>
      <c r="I133" s="690"/>
      <c r="J133" s="690"/>
      <c r="K133" s="690"/>
    </row>
    <row r="134" spans="1:11" ht="18.899999999999999" customHeight="1" thickBot="1">
      <c r="A134" s="690"/>
      <c r="B134" s="646" t="str">
        <v>02</v>
      </c>
      <c r="C134" s="711" t="str">
        <f t="array" ref="C134:C189">$C$10:$C$65</f>
        <v>A. GAZOCIĄGI DYSTRYBUCYJNE, Z TEGO:</v>
      </c>
      <c r="D134" s="712" t="str">
        <f>"[tys. zł/km]"</f>
        <v>[tys. zł/km]</v>
      </c>
      <c r="E134" s="713" t="str">
        <f t="array" ref="E134:E189">IFERROR($E$10:$E$65/$E$72:$E$127,"")</f>
        <v/>
      </c>
      <c r="F134" s="277"/>
      <c r="G134" s="277"/>
      <c r="H134" s="690"/>
      <c r="I134" s="690"/>
      <c r="J134" s="690"/>
      <c r="K134" s="690"/>
    </row>
    <row r="135" spans="1:11" ht="18.899999999999999" customHeight="1" thickBot="1">
      <c r="A135" s="690"/>
      <c r="B135" s="638" t="str">
        <v>03</v>
      </c>
      <c r="C135" s="3" t="str">
        <v>A1. Gazociągi wysokiego i podyższonego średniego ciśnienia</v>
      </c>
      <c r="D135" s="4" t="str">
        <f t="shared" ref="D135:D140" si="2">$D$134</f>
        <v>[tys. zł/km]</v>
      </c>
      <c r="E135" s="150" t="str">
        <v/>
      </c>
      <c r="F135" s="277"/>
      <c r="G135" s="277"/>
      <c r="H135" s="690"/>
      <c r="I135" s="690"/>
      <c r="J135" s="690"/>
      <c r="K135" s="690"/>
    </row>
    <row r="136" spans="1:11" ht="18.899999999999999" customHeight="1">
      <c r="A136" s="690"/>
      <c r="B136" s="639" t="str">
        <v>04</v>
      </c>
      <c r="C136" s="261" t="str">
        <v>ze stali</v>
      </c>
      <c r="D136" s="5" t="str">
        <f t="shared" si="2"/>
        <v>[tys. zł/km]</v>
      </c>
      <c r="E136" s="151" t="str">
        <v/>
      </c>
      <c r="F136" s="277"/>
      <c r="G136" s="277"/>
      <c r="H136" s="690"/>
      <c r="I136" s="690"/>
      <c r="J136" s="690"/>
      <c r="K136" s="690"/>
    </row>
    <row r="137" spans="1:11" ht="18.899999999999999" customHeight="1">
      <c r="A137" s="690"/>
      <c r="B137" s="640" t="str">
        <v>05</v>
      </c>
      <c r="C137" s="263" t="str">
        <v>300 &lt; DN[mm]</v>
      </c>
      <c r="D137" s="6" t="str">
        <f t="shared" si="2"/>
        <v>[tys. zł/km]</v>
      </c>
      <c r="E137" s="152" t="str">
        <v/>
      </c>
      <c r="F137" s="277"/>
      <c r="G137" s="277"/>
      <c r="H137" s="690"/>
      <c r="I137" s="690"/>
      <c r="J137" s="690"/>
      <c r="K137" s="690"/>
    </row>
    <row r="138" spans="1:11" ht="18.899999999999999" customHeight="1">
      <c r="A138" s="690"/>
      <c r="B138" s="641" t="str">
        <v>06</v>
      </c>
      <c r="C138" s="264" t="str">
        <v>200 &lt; DN[mm] ≤ 300</v>
      </c>
      <c r="D138" s="7" t="str">
        <f t="shared" si="2"/>
        <v>[tys. zł/km]</v>
      </c>
      <c r="E138" s="153" t="str">
        <v/>
      </c>
      <c r="F138" s="277"/>
      <c r="G138" s="277"/>
      <c r="H138" s="690"/>
      <c r="I138" s="690"/>
      <c r="J138" s="690"/>
      <c r="K138" s="690"/>
    </row>
    <row r="139" spans="1:11" ht="18.899999999999999" customHeight="1">
      <c r="A139" s="690"/>
      <c r="B139" s="641" t="str">
        <v>07</v>
      </c>
      <c r="C139" s="264" t="str">
        <v>100 &lt; DN[mm] ≤ 200</v>
      </c>
      <c r="D139" s="7" t="str">
        <f t="shared" si="2"/>
        <v>[tys. zł/km]</v>
      </c>
      <c r="E139" s="153" t="str">
        <v/>
      </c>
      <c r="F139" s="277"/>
      <c r="G139" s="277"/>
      <c r="H139" s="690"/>
      <c r="I139" s="690"/>
      <c r="J139" s="690"/>
      <c r="K139" s="690"/>
    </row>
    <row r="140" spans="1:11" ht="18.899999999999999" customHeight="1">
      <c r="A140" s="690"/>
      <c r="B140" s="642" t="str">
        <v>08</v>
      </c>
      <c r="C140" s="267" t="str">
        <v>DN[mm] ≤ 100</v>
      </c>
      <c r="D140" s="8" t="str">
        <f t="shared" si="2"/>
        <v>[tys. zł/km]</v>
      </c>
      <c r="E140" s="154" t="str">
        <v/>
      </c>
      <c r="F140" s="277"/>
      <c r="G140" s="277"/>
      <c r="H140" s="690"/>
      <c r="I140" s="690"/>
      <c r="J140" s="690"/>
      <c r="K140" s="690"/>
    </row>
    <row r="141" spans="1:11" ht="18.899999999999999" customHeight="1">
      <c r="A141" s="690"/>
      <c r="B141" s="643" t="str">
        <v>09</v>
      </c>
      <c r="C141" s="262" t="str">
        <v>z tworzyw sztucznych (np. polietylenu)</v>
      </c>
      <c r="D141" s="9" t="s">
        <v>94</v>
      </c>
      <c r="E141" s="155" t="str">
        <v/>
      </c>
      <c r="F141" s="277"/>
      <c r="G141" s="277"/>
      <c r="H141" s="690"/>
      <c r="I141" s="690"/>
      <c r="J141" s="690"/>
      <c r="K141" s="690"/>
    </row>
    <row r="142" spans="1:11" ht="18.899999999999999" customHeight="1">
      <c r="A142" s="690"/>
      <c r="B142" s="640" t="str">
        <v>10</v>
      </c>
      <c r="C142" s="263" t="str">
        <v>300 &lt; DN[mm]</v>
      </c>
      <c r="D142" s="6" t="str">
        <f t="shared" ref="D142:D147" si="3">$D$134</f>
        <v>[tys. zł/km]</v>
      </c>
      <c r="E142" s="152" t="str">
        <v/>
      </c>
      <c r="F142" s="277"/>
      <c r="G142" s="277"/>
      <c r="H142" s="690"/>
      <c r="I142" s="690"/>
      <c r="J142" s="690"/>
      <c r="K142" s="690"/>
    </row>
    <row r="143" spans="1:11" ht="18.899999999999999" customHeight="1">
      <c r="A143" s="690"/>
      <c r="B143" s="641" t="str">
        <v>11</v>
      </c>
      <c r="C143" s="264" t="str">
        <v>200 &lt; DN[mm] ≤ 300</v>
      </c>
      <c r="D143" s="7" t="str">
        <f t="shared" si="3"/>
        <v>[tys. zł/km]</v>
      </c>
      <c r="E143" s="153" t="str">
        <v/>
      </c>
      <c r="F143" s="277"/>
      <c r="G143" s="277"/>
      <c r="H143" s="690"/>
      <c r="I143" s="690"/>
      <c r="J143" s="690"/>
      <c r="K143" s="690"/>
    </row>
    <row r="144" spans="1:11" ht="18.899999999999999" customHeight="1">
      <c r="A144" s="690"/>
      <c r="B144" s="641" t="str">
        <v>12</v>
      </c>
      <c r="C144" s="264" t="str">
        <v>100 &lt; DN[mm] ≤ 200</v>
      </c>
      <c r="D144" s="7" t="str">
        <f t="shared" si="3"/>
        <v>[tys. zł/km]</v>
      </c>
      <c r="E144" s="153" t="str">
        <v/>
      </c>
      <c r="F144" s="277"/>
      <c r="G144" s="277"/>
      <c r="H144" s="690"/>
      <c r="I144" s="690"/>
      <c r="J144" s="690"/>
      <c r="K144" s="690"/>
    </row>
    <row r="145" spans="1:11" ht="18.899999999999999" customHeight="1" thickBot="1">
      <c r="A145" s="690"/>
      <c r="B145" s="644" t="str">
        <v>13</v>
      </c>
      <c r="C145" s="268" t="str">
        <v>DN[mm] ≤ 100</v>
      </c>
      <c r="D145" s="10" t="str">
        <f t="shared" si="3"/>
        <v>[tys. zł/km]</v>
      </c>
      <c r="E145" s="156" t="str">
        <v/>
      </c>
      <c r="F145" s="277"/>
      <c r="G145" s="277"/>
      <c r="H145" s="690"/>
      <c r="I145" s="690"/>
      <c r="J145" s="690"/>
      <c r="K145" s="690"/>
    </row>
    <row r="146" spans="1:11" ht="18.899999999999999" customHeight="1" thickBot="1">
      <c r="A146" s="690"/>
      <c r="B146" s="638" t="str">
        <v>14</v>
      </c>
      <c r="C146" s="11" t="str">
        <v>A2. Gazociągi średniego i niskiego ciśnienia</v>
      </c>
      <c r="D146" s="4" t="str">
        <f t="shared" si="3"/>
        <v>[tys. zł/km]</v>
      </c>
      <c r="E146" s="150" t="str">
        <v/>
      </c>
      <c r="F146" s="277"/>
      <c r="G146" s="277"/>
      <c r="H146" s="690"/>
      <c r="I146" s="690"/>
      <c r="J146" s="690"/>
      <c r="K146" s="690"/>
    </row>
    <row r="147" spans="1:11" ht="18.899999999999999" customHeight="1">
      <c r="A147" s="690"/>
      <c r="B147" s="639" t="str">
        <v>15</v>
      </c>
      <c r="C147" s="261" t="str">
        <v>ze stali</v>
      </c>
      <c r="D147" s="5" t="str">
        <f t="shared" si="3"/>
        <v>[tys. zł/km]</v>
      </c>
      <c r="E147" s="151" t="str">
        <v/>
      </c>
      <c r="F147" s="277"/>
      <c r="G147" s="277"/>
      <c r="H147" s="690"/>
      <c r="I147" s="690"/>
      <c r="J147" s="690"/>
      <c r="K147" s="690"/>
    </row>
    <row r="148" spans="1:11" ht="18.899999999999999" customHeight="1">
      <c r="A148" s="690"/>
      <c r="B148" s="640" t="str">
        <v>16</v>
      </c>
      <c r="C148" s="263" t="str">
        <v>200 &lt; DN[mm]</v>
      </c>
      <c r="D148" s="6" t="s">
        <v>94</v>
      </c>
      <c r="E148" s="152" t="str">
        <v/>
      </c>
      <c r="F148" s="277"/>
      <c r="G148" s="277"/>
      <c r="H148" s="690"/>
      <c r="I148" s="690"/>
      <c r="J148" s="690"/>
      <c r="K148" s="690"/>
    </row>
    <row r="149" spans="1:11" ht="18.899999999999999" customHeight="1">
      <c r="A149" s="690"/>
      <c r="B149" s="641" t="str">
        <v>17</v>
      </c>
      <c r="C149" s="264" t="str">
        <v>100 &lt; DN[mm] ≤ 200</v>
      </c>
      <c r="D149" s="7" t="str">
        <f t="shared" ref="D149:D154" si="4">$D$134</f>
        <v>[tys. zł/km]</v>
      </c>
      <c r="E149" s="153" t="str">
        <v/>
      </c>
      <c r="F149" s="277"/>
      <c r="G149" s="277"/>
      <c r="H149" s="690"/>
      <c r="I149" s="690"/>
      <c r="J149" s="690"/>
      <c r="K149" s="690"/>
    </row>
    <row r="150" spans="1:11" ht="18.899999999999999" customHeight="1">
      <c r="A150" s="690"/>
      <c r="B150" s="641" t="str">
        <v>18</v>
      </c>
      <c r="C150" s="265" t="str">
        <v>63 &lt; DN[mm] ≤ 100</v>
      </c>
      <c r="D150" s="7" t="str">
        <f t="shared" si="4"/>
        <v>[tys. zł/km]</v>
      </c>
      <c r="E150" s="153" t="str">
        <v/>
      </c>
      <c r="F150" s="277"/>
      <c r="G150" s="277"/>
      <c r="H150" s="690"/>
      <c r="I150" s="690"/>
      <c r="J150" s="690"/>
      <c r="K150" s="690"/>
    </row>
    <row r="151" spans="1:11" ht="18.899999999999999" customHeight="1">
      <c r="A151" s="690"/>
      <c r="B151" s="642" t="str">
        <v>19</v>
      </c>
      <c r="C151" s="267" t="str">
        <v>DN[mm] ≤ 63</v>
      </c>
      <c r="D151" s="8" t="str">
        <f t="shared" si="4"/>
        <v>[tys. zł/km]</v>
      </c>
      <c r="E151" s="154" t="str">
        <v/>
      </c>
      <c r="F151" s="277"/>
      <c r="G151" s="277"/>
      <c r="H151" s="690"/>
      <c r="I151" s="690"/>
      <c r="J151" s="690"/>
      <c r="K151" s="690"/>
    </row>
    <row r="152" spans="1:11" ht="18.899999999999999" customHeight="1">
      <c r="A152" s="690"/>
      <c r="B152" s="643" t="str">
        <v>20</v>
      </c>
      <c r="C152" s="262" t="str">
        <v>z tworzyw sztucznych (np. polietylenu)</v>
      </c>
      <c r="D152" s="9" t="str">
        <f t="shared" si="4"/>
        <v>[tys. zł/km]</v>
      </c>
      <c r="E152" s="155" t="str">
        <v/>
      </c>
      <c r="F152" s="277"/>
      <c r="G152" s="277"/>
      <c r="H152" s="690"/>
      <c r="I152" s="690"/>
      <c r="J152" s="690"/>
      <c r="K152" s="690"/>
    </row>
    <row r="153" spans="1:11" ht="18.899999999999999" customHeight="1">
      <c r="A153" s="690"/>
      <c r="B153" s="640" t="str">
        <v>21</v>
      </c>
      <c r="C153" s="263" t="str">
        <v>200 &lt; DN[mm]</v>
      </c>
      <c r="D153" s="6" t="str">
        <f t="shared" si="4"/>
        <v>[tys. zł/km]</v>
      </c>
      <c r="E153" s="152" t="str">
        <v/>
      </c>
      <c r="F153" s="277"/>
      <c r="G153" s="277"/>
      <c r="H153" s="690"/>
      <c r="I153" s="690"/>
      <c r="J153" s="690"/>
      <c r="K153" s="690"/>
    </row>
    <row r="154" spans="1:11" ht="18.899999999999999" customHeight="1">
      <c r="A154" s="690"/>
      <c r="B154" s="641" t="str">
        <v>22</v>
      </c>
      <c r="C154" s="264" t="str">
        <v>100 &lt; DN[mm] ≤ 200</v>
      </c>
      <c r="D154" s="7" t="str">
        <f t="shared" si="4"/>
        <v>[tys. zł/km]</v>
      </c>
      <c r="E154" s="153" t="str">
        <v/>
      </c>
      <c r="F154" s="277"/>
      <c r="G154" s="277"/>
      <c r="H154" s="690"/>
      <c r="I154" s="690"/>
      <c r="J154" s="690"/>
      <c r="K154" s="690"/>
    </row>
    <row r="155" spans="1:11" ht="18.899999999999999" customHeight="1">
      <c r="A155" s="690"/>
      <c r="B155" s="641" t="str">
        <v>23</v>
      </c>
      <c r="C155" s="265" t="str">
        <v>63 &lt; DN[mm] ≤ 100</v>
      </c>
      <c r="D155" s="7" t="s">
        <v>94</v>
      </c>
      <c r="E155" s="153" t="str">
        <v/>
      </c>
      <c r="F155" s="277"/>
      <c r="G155" s="277"/>
      <c r="H155" s="690"/>
      <c r="I155" s="690"/>
      <c r="J155" s="690"/>
      <c r="K155" s="690"/>
    </row>
    <row r="156" spans="1:11" ht="18.899999999999999" customHeight="1" thickBot="1">
      <c r="A156" s="690"/>
      <c r="B156" s="644" t="str">
        <v>24</v>
      </c>
      <c r="C156" s="268" t="str">
        <v>DN[mm] ≤ 63</v>
      </c>
      <c r="D156" s="10" t="str">
        <f t="shared" ref="D156:D161" si="5">$D$134</f>
        <v>[tys. zł/km]</v>
      </c>
      <c r="E156" s="156" t="str">
        <v/>
      </c>
      <c r="F156" s="277"/>
      <c r="G156" s="277"/>
      <c r="H156" s="690"/>
      <c r="I156" s="690"/>
      <c r="J156" s="690"/>
      <c r="K156" s="690"/>
    </row>
    <row r="157" spans="1:11" ht="18.899999999999999" customHeight="1" thickBot="1">
      <c r="A157" s="690"/>
      <c r="B157" s="638" t="str">
        <v>25</v>
      </c>
      <c r="C157" s="11" t="str">
        <v>A3. przyłącza</v>
      </c>
      <c r="D157" s="4" t="str">
        <f t="shared" si="5"/>
        <v>[tys. zł/km]</v>
      </c>
      <c r="E157" s="150" t="str">
        <v/>
      </c>
      <c r="F157" s="277"/>
      <c r="G157" s="277"/>
      <c r="H157" s="690"/>
      <c r="I157" s="690"/>
      <c r="J157" s="690"/>
      <c r="K157" s="690"/>
    </row>
    <row r="158" spans="1:11" ht="18.899999999999999" customHeight="1">
      <c r="A158" s="690"/>
      <c r="B158" s="639" t="str">
        <v>26</v>
      </c>
      <c r="C158" s="261" t="str">
        <v>ze stali</v>
      </c>
      <c r="D158" s="5" t="str">
        <f t="shared" si="5"/>
        <v>[tys. zł/km]</v>
      </c>
      <c r="E158" s="151" t="str">
        <v/>
      </c>
      <c r="F158" s="277"/>
      <c r="G158" s="277"/>
      <c r="H158" s="690"/>
      <c r="I158" s="690"/>
      <c r="J158" s="690"/>
      <c r="K158" s="690"/>
    </row>
    <row r="159" spans="1:11" ht="18.899999999999999" customHeight="1">
      <c r="A159" s="690"/>
      <c r="B159" s="640" t="str">
        <v>27</v>
      </c>
      <c r="C159" s="263" t="str">
        <v>100 &lt; DN[mm]</v>
      </c>
      <c r="D159" s="6" t="str">
        <f t="shared" si="5"/>
        <v>[tys. zł/km]</v>
      </c>
      <c r="E159" s="152" t="str">
        <v/>
      </c>
      <c r="F159" s="277"/>
      <c r="G159" s="277"/>
      <c r="H159" s="690"/>
      <c r="I159" s="690"/>
      <c r="J159" s="690"/>
      <c r="K159" s="690"/>
    </row>
    <row r="160" spans="1:11" ht="18.899999999999999" customHeight="1">
      <c r="A160" s="690"/>
      <c r="B160" s="641" t="str">
        <v>28</v>
      </c>
      <c r="C160" s="265" t="str">
        <v>63 &lt; DN[mm] ≤ 100</v>
      </c>
      <c r="D160" s="7" t="str">
        <f t="shared" si="5"/>
        <v>[tys. zł/km]</v>
      </c>
      <c r="E160" s="153" t="str">
        <v/>
      </c>
      <c r="F160" s="277"/>
      <c r="G160" s="277"/>
      <c r="H160" s="690"/>
      <c r="I160" s="690"/>
      <c r="J160" s="690"/>
      <c r="K160" s="690"/>
    </row>
    <row r="161" spans="1:11" ht="18.899999999999999" customHeight="1">
      <c r="A161" s="690"/>
      <c r="B161" s="641" t="str">
        <v>29</v>
      </c>
      <c r="C161" s="265" t="str">
        <v>32 &lt; DN[mm] ≤ 63</v>
      </c>
      <c r="D161" s="7" t="str">
        <f t="shared" si="5"/>
        <v>[tys. zł/km]</v>
      </c>
      <c r="E161" s="153" t="str">
        <v/>
      </c>
      <c r="F161" s="277"/>
      <c r="G161" s="277"/>
      <c r="H161" s="690"/>
      <c r="I161" s="690"/>
      <c r="J161" s="690"/>
      <c r="K161" s="690"/>
    </row>
    <row r="162" spans="1:11" ht="18.899999999999999" customHeight="1">
      <c r="A162" s="690"/>
      <c r="B162" s="642" t="str">
        <v>30</v>
      </c>
      <c r="C162" s="272" t="str">
        <v>DN[mm] ≤ 32</v>
      </c>
      <c r="D162" s="8" t="s">
        <v>94</v>
      </c>
      <c r="E162" s="154" t="str">
        <v/>
      </c>
      <c r="F162" s="277"/>
      <c r="G162" s="277"/>
      <c r="H162" s="690"/>
      <c r="I162" s="690"/>
      <c r="J162" s="690"/>
      <c r="K162" s="690"/>
    </row>
    <row r="163" spans="1:11" ht="18.899999999999999" customHeight="1">
      <c r="A163" s="690"/>
      <c r="B163" s="643" t="str">
        <v>31</v>
      </c>
      <c r="C163" s="262" t="str">
        <v>z tworzyw sztucznych (np. polietylenu)</v>
      </c>
      <c r="D163" s="9" t="str">
        <f>$D$134</f>
        <v>[tys. zł/km]</v>
      </c>
      <c r="E163" s="155" t="str">
        <v/>
      </c>
      <c r="F163" s="277"/>
      <c r="G163" s="277"/>
      <c r="H163" s="690"/>
      <c r="I163" s="690"/>
      <c r="J163" s="690"/>
      <c r="K163" s="690"/>
    </row>
    <row r="164" spans="1:11" ht="18.899999999999999" customHeight="1">
      <c r="A164" s="690"/>
      <c r="B164" s="640" t="str">
        <v>32</v>
      </c>
      <c r="C164" s="263" t="str">
        <v>100 &lt; DN[mm]</v>
      </c>
      <c r="D164" s="6" t="str">
        <f>$D$134</f>
        <v>[tys. zł/km]</v>
      </c>
      <c r="E164" s="152" t="str">
        <v/>
      </c>
      <c r="F164" s="277"/>
      <c r="G164" s="277"/>
      <c r="H164" s="690"/>
      <c r="I164" s="690"/>
      <c r="J164" s="690"/>
      <c r="K164" s="690"/>
    </row>
    <row r="165" spans="1:11" ht="18.899999999999999" customHeight="1">
      <c r="A165" s="690"/>
      <c r="B165" s="641" t="str">
        <v>33</v>
      </c>
      <c r="C165" s="265" t="str">
        <v>63 &lt; DN[mm] ≤ 100</v>
      </c>
      <c r="D165" s="7" t="str">
        <f>$D$134</f>
        <v>[tys. zł/km]</v>
      </c>
      <c r="E165" s="153" t="str">
        <v/>
      </c>
      <c r="F165" s="277"/>
      <c r="G165" s="277"/>
      <c r="H165" s="690"/>
      <c r="I165" s="690"/>
      <c r="J165" s="690"/>
      <c r="K165" s="690"/>
    </row>
    <row r="166" spans="1:11" ht="18.899999999999999" customHeight="1">
      <c r="A166" s="690"/>
      <c r="B166" s="641" t="str">
        <v>34</v>
      </c>
      <c r="C166" s="265" t="str">
        <v>32 &lt; DN[mm] ≤ 63</v>
      </c>
      <c r="D166" s="7" t="str">
        <f>$D$134</f>
        <v>[tys. zł/km]</v>
      </c>
      <c r="E166" s="153" t="str">
        <v/>
      </c>
      <c r="F166" s="277"/>
      <c r="G166" s="277"/>
      <c r="H166" s="690"/>
      <c r="I166" s="690"/>
      <c r="J166" s="690"/>
      <c r="K166" s="690"/>
    </row>
    <row r="167" spans="1:11" ht="18.899999999999999" customHeight="1" thickBot="1">
      <c r="A167" s="690"/>
      <c r="B167" s="644" t="str">
        <v>35</v>
      </c>
      <c r="C167" s="844" t="str">
        <v>DN[mm] ≤ 32</v>
      </c>
      <c r="D167" s="10" t="s">
        <v>94</v>
      </c>
      <c r="E167" s="156" t="str">
        <v/>
      </c>
      <c r="F167" s="277"/>
      <c r="G167" s="277"/>
      <c r="H167" s="690"/>
      <c r="I167" s="690"/>
      <c r="J167" s="690"/>
      <c r="K167" s="690"/>
    </row>
    <row r="168" spans="1:11" ht="18.899999999999999" customHeight="1" thickBot="1">
      <c r="A168" s="690"/>
      <c r="B168" s="646" t="str">
        <v>36</v>
      </c>
      <c r="C168" s="1" t="str">
        <v>B. STACJE GAZOWE, TŁOCZNIE I WĘZŁY</v>
      </c>
      <c r="D168" s="2" t="str">
        <f>"[tys. zł/szt.]"</f>
        <v>[tys. zł/szt.]</v>
      </c>
      <c r="E168" s="149" t="str">
        <v/>
      </c>
      <c r="F168" s="277"/>
      <c r="G168" s="277"/>
      <c r="H168" s="690"/>
      <c r="I168" s="690"/>
      <c r="J168" s="690"/>
      <c r="K168" s="690"/>
    </row>
    <row r="169" spans="1:11" ht="18.899999999999999" customHeight="1">
      <c r="A169" s="690"/>
      <c r="B169" s="639" t="str">
        <v>37</v>
      </c>
      <c r="C169" s="12" t="str">
        <v>B1. stacje redukcyjno-pomiarowe I°</v>
      </c>
      <c r="D169" s="5" t="str">
        <f t="shared" ref="D169:D189" si="6">$D$168</f>
        <v>[tys. zł/szt.]</v>
      </c>
      <c r="E169" s="151" t="str">
        <v/>
      </c>
      <c r="F169" s="277"/>
      <c r="G169" s="277"/>
      <c r="H169" s="690"/>
      <c r="I169" s="690"/>
      <c r="J169" s="690"/>
      <c r="K169" s="690"/>
    </row>
    <row r="170" spans="1:11" ht="18.899999999999999" customHeight="1">
      <c r="A170" s="690"/>
      <c r="B170" s="640" t="str">
        <v>38</v>
      </c>
      <c r="C170" s="263" t="str">
        <v>3000 &lt; Q[m³/h]</v>
      </c>
      <c r="D170" s="6" t="str">
        <f t="shared" si="6"/>
        <v>[tys. zł/szt.]</v>
      </c>
      <c r="E170" s="152" t="str">
        <v/>
      </c>
      <c r="F170" s="277"/>
      <c r="G170" s="277"/>
      <c r="H170" s="690"/>
      <c r="I170" s="690"/>
      <c r="J170" s="690"/>
      <c r="K170" s="690"/>
    </row>
    <row r="171" spans="1:11" ht="18.899999999999999" customHeight="1">
      <c r="A171" s="690"/>
      <c r="B171" s="641" t="str">
        <v>39</v>
      </c>
      <c r="C171" s="264" t="str">
        <v>1000 &lt; Q[m³/h] ≤ 3000</v>
      </c>
      <c r="D171" s="7" t="str">
        <f t="shared" si="6"/>
        <v>[tys. zł/szt.]</v>
      </c>
      <c r="E171" s="153" t="str">
        <v/>
      </c>
      <c r="F171" s="277"/>
      <c r="G171" s="277"/>
      <c r="H171" s="690"/>
      <c r="I171" s="690"/>
      <c r="J171" s="690"/>
      <c r="K171" s="690"/>
    </row>
    <row r="172" spans="1:11" ht="18.899999999999999" customHeight="1">
      <c r="A172" s="690"/>
      <c r="B172" s="642" t="str">
        <v>40</v>
      </c>
      <c r="C172" s="272" t="str">
        <v>Q[m³/h] ≤ 1000</v>
      </c>
      <c r="D172" s="8" t="str">
        <f t="shared" si="6"/>
        <v>[tys. zł/szt.]</v>
      </c>
      <c r="E172" s="154" t="str">
        <v/>
      </c>
      <c r="F172" s="277"/>
      <c r="G172" s="277"/>
      <c r="H172" s="690"/>
      <c r="I172" s="690"/>
      <c r="J172" s="690"/>
      <c r="K172" s="690"/>
    </row>
    <row r="173" spans="1:11" ht="18.899999999999999" customHeight="1">
      <c r="A173" s="690"/>
      <c r="B173" s="643" t="str">
        <v>41</v>
      </c>
      <c r="C173" s="13" t="str">
        <v>B2. stacje redukcyjno-pomiarowe II°</v>
      </c>
      <c r="D173" s="9" t="str">
        <f t="shared" si="6"/>
        <v>[tys. zł/szt.]</v>
      </c>
      <c r="E173" s="155" t="str">
        <v/>
      </c>
      <c r="F173" s="277"/>
      <c r="G173" s="277"/>
      <c r="H173" s="690"/>
      <c r="I173" s="690"/>
      <c r="J173" s="690"/>
      <c r="K173" s="690"/>
    </row>
    <row r="174" spans="1:11" ht="18.899999999999999" customHeight="1">
      <c r="A174" s="690"/>
      <c r="B174" s="640" t="str">
        <v>42</v>
      </c>
      <c r="C174" s="263" t="str">
        <v>1000 &lt; Q[m³/h]</v>
      </c>
      <c r="D174" s="6" t="str">
        <f t="shared" si="6"/>
        <v>[tys. zł/szt.]</v>
      </c>
      <c r="E174" s="152" t="str">
        <v/>
      </c>
      <c r="F174" s="277"/>
      <c r="G174" s="277"/>
      <c r="H174" s="690"/>
      <c r="I174" s="690"/>
      <c r="J174" s="690"/>
      <c r="K174" s="690"/>
    </row>
    <row r="175" spans="1:11" ht="18.899999999999999" customHeight="1">
      <c r="A175" s="690"/>
      <c r="B175" s="641" t="str">
        <v>43</v>
      </c>
      <c r="C175" s="265" t="str">
        <v>300 &lt; Q[m³/h] ≤ 1000</v>
      </c>
      <c r="D175" s="7" t="str">
        <f t="shared" si="6"/>
        <v>[tys. zł/szt.]</v>
      </c>
      <c r="E175" s="153" t="str">
        <v/>
      </c>
      <c r="F175" s="277"/>
      <c r="G175" s="277"/>
      <c r="H175" s="690"/>
      <c r="I175" s="690"/>
      <c r="J175" s="690"/>
      <c r="K175" s="690"/>
    </row>
    <row r="176" spans="1:11" ht="18.899999999999999" customHeight="1">
      <c r="A176" s="690"/>
      <c r="B176" s="642" t="str">
        <v>44</v>
      </c>
      <c r="C176" s="272" t="str">
        <v>Q[m³/h] ≤ 300</v>
      </c>
      <c r="D176" s="8" t="str">
        <f t="shared" si="6"/>
        <v>[tys. zł/szt.]</v>
      </c>
      <c r="E176" s="154" t="str">
        <v/>
      </c>
      <c r="F176" s="277"/>
      <c r="G176" s="277"/>
      <c r="H176" s="690"/>
      <c r="I176" s="690"/>
      <c r="J176" s="690"/>
      <c r="K176" s="690"/>
    </row>
    <row r="177" spans="1:11" ht="18.899999999999999" customHeight="1">
      <c r="A177" s="690"/>
      <c r="B177" s="643" t="str">
        <v>45</v>
      </c>
      <c r="C177" s="13" t="str">
        <v>B3. stacje LNG</v>
      </c>
      <c r="D177" s="9" t="str">
        <f t="shared" si="6"/>
        <v>[tys. zł/szt.]</v>
      </c>
      <c r="E177" s="155" t="str">
        <v/>
      </c>
      <c r="F177" s="277"/>
      <c r="G177" s="277"/>
      <c r="H177" s="690"/>
      <c r="I177" s="690"/>
      <c r="J177" s="690"/>
      <c r="K177" s="690"/>
    </row>
    <row r="178" spans="1:11" ht="18.899999999999999" customHeight="1">
      <c r="A178" s="690"/>
      <c r="B178" s="640" t="str">
        <v>46</v>
      </c>
      <c r="C178" s="263" t="str">
        <v>1000 &lt; Q[m³/h]</v>
      </c>
      <c r="D178" s="6" t="str">
        <f t="shared" si="6"/>
        <v>[tys. zł/szt.]</v>
      </c>
      <c r="E178" s="152" t="str">
        <v/>
      </c>
      <c r="F178" s="277"/>
      <c r="G178" s="277"/>
      <c r="H178" s="690"/>
      <c r="I178" s="690"/>
      <c r="J178" s="690"/>
      <c r="K178" s="690"/>
    </row>
    <row r="179" spans="1:11" ht="18.899999999999999" customHeight="1">
      <c r="A179" s="690"/>
      <c r="B179" s="641" t="str">
        <v>47</v>
      </c>
      <c r="C179" s="265" t="str">
        <v>300 &lt; Q[m³/h] ≤ 1000</v>
      </c>
      <c r="D179" s="7" t="str">
        <f t="shared" si="6"/>
        <v>[tys. zł/szt.]</v>
      </c>
      <c r="E179" s="153" t="str">
        <v/>
      </c>
      <c r="F179" s="277"/>
      <c r="G179" s="277"/>
      <c r="H179" s="690"/>
      <c r="I179" s="690"/>
      <c r="J179" s="690"/>
      <c r="K179" s="690"/>
    </row>
    <row r="180" spans="1:11" ht="18.899999999999999" customHeight="1">
      <c r="A180" s="690"/>
      <c r="B180" s="642" t="str">
        <v>48</v>
      </c>
      <c r="C180" s="272" t="str">
        <v>Q[m³/h] ≤ 300</v>
      </c>
      <c r="D180" s="8" t="str">
        <f t="shared" si="6"/>
        <v>[tys. zł/szt.]</v>
      </c>
      <c r="E180" s="154" t="str">
        <v/>
      </c>
      <c r="F180" s="277"/>
      <c r="G180" s="277"/>
      <c r="H180" s="690"/>
      <c r="I180" s="690"/>
      <c r="J180" s="690"/>
      <c r="K180" s="690"/>
    </row>
    <row r="181" spans="1:11" ht="18.899999999999999" customHeight="1">
      <c r="A181" s="690"/>
      <c r="B181" s="647" t="str">
        <v>49</v>
      </c>
      <c r="C181" s="14" t="str">
        <v>B4. tłocznie gazu</v>
      </c>
      <c r="D181" s="15" t="str">
        <f t="shared" si="6"/>
        <v>[tys. zł/szt.]</v>
      </c>
      <c r="E181" s="155" t="str">
        <v/>
      </c>
      <c r="F181" s="277"/>
      <c r="G181" s="277"/>
      <c r="H181" s="690"/>
      <c r="I181" s="690"/>
      <c r="J181" s="690"/>
      <c r="K181" s="690"/>
    </row>
    <row r="182" spans="1:11" ht="18.899999999999999" customHeight="1" thickBot="1">
      <c r="A182" s="690"/>
      <c r="B182" s="648" t="str">
        <v>50</v>
      </c>
      <c r="C182" s="16" t="str">
        <v>B5. węzły</v>
      </c>
      <c r="D182" s="17" t="str">
        <f t="shared" si="6"/>
        <v>[tys. zł/szt.]</v>
      </c>
      <c r="E182" s="157" t="str">
        <v/>
      </c>
      <c r="F182" s="277"/>
      <c r="G182" s="277"/>
      <c r="H182" s="690"/>
      <c r="I182" s="690"/>
      <c r="J182" s="690"/>
      <c r="K182" s="690"/>
    </row>
    <row r="183" spans="1:11" ht="18.899999999999999" customHeight="1" thickBot="1">
      <c r="A183" s="690"/>
      <c r="B183" s="646" t="str">
        <v>51</v>
      </c>
      <c r="C183" s="1" t="str">
        <v>C. GAZOMIERZE I UKŁADY POMIAROWE</v>
      </c>
      <c r="D183" s="2" t="str">
        <f t="shared" si="6"/>
        <v>[tys. zł/szt.]</v>
      </c>
      <c r="E183" s="149" t="str">
        <v/>
      </c>
      <c r="F183" s="690"/>
      <c r="G183" s="690"/>
      <c r="H183" s="690"/>
      <c r="I183" s="690"/>
      <c r="J183" s="690"/>
      <c r="K183" s="690"/>
    </row>
    <row r="184" spans="1:11" ht="18.899999999999999" customHeight="1">
      <c r="A184" s="690"/>
      <c r="B184" s="639" t="str">
        <v>52</v>
      </c>
      <c r="C184" s="12" t="str">
        <v>C1. Gazomierze miechowe</v>
      </c>
      <c r="D184" s="5" t="str">
        <f t="shared" si="6"/>
        <v>[tys. zł/szt.]</v>
      </c>
      <c r="E184" s="151" t="str">
        <v/>
      </c>
      <c r="F184" s="690"/>
      <c r="G184" s="690"/>
      <c r="H184" s="690"/>
      <c r="I184" s="690"/>
      <c r="J184" s="690"/>
      <c r="K184" s="690"/>
    </row>
    <row r="185" spans="1:11" ht="18.899999999999999" customHeight="1">
      <c r="A185" s="690"/>
      <c r="B185" s="640" t="str">
        <v>53</v>
      </c>
      <c r="C185" s="266" t="str">
        <v>G1.6 ÷ G6 (nowe)</v>
      </c>
      <c r="D185" s="6" t="str">
        <f t="shared" si="6"/>
        <v>[tys. zł/szt.]</v>
      </c>
      <c r="E185" s="152" t="str">
        <v/>
      </c>
      <c r="F185" s="690"/>
      <c r="G185" s="690"/>
      <c r="H185" s="690"/>
      <c r="I185" s="690"/>
      <c r="J185" s="690"/>
      <c r="K185" s="690"/>
    </row>
    <row r="186" spans="1:11" ht="18.899999999999999" customHeight="1">
      <c r="A186" s="690"/>
      <c r="B186" s="645" t="str">
        <v>54</v>
      </c>
      <c r="C186" s="269" t="str">
        <v>G10 ÷ G650 (nowe)</v>
      </c>
      <c r="D186" s="270" t="str">
        <f t="shared" si="6"/>
        <v>[tys. zł/szt.]</v>
      </c>
      <c r="E186" s="271" t="str">
        <v/>
      </c>
      <c r="F186" s="690"/>
      <c r="G186" s="690"/>
      <c r="H186" s="690"/>
      <c r="I186" s="690"/>
      <c r="J186" s="690"/>
      <c r="K186" s="690"/>
    </row>
    <row r="187" spans="1:11" ht="18.899999999999999" customHeight="1">
      <c r="A187" s="690"/>
      <c r="B187" s="643" t="str">
        <v>55</v>
      </c>
      <c r="C187" s="13" t="str">
        <v>C2. Gazomierze turbinowe</v>
      </c>
      <c r="D187" s="9" t="str">
        <f t="shared" si="6"/>
        <v>[tys. zł/szt.]</v>
      </c>
      <c r="E187" s="155" t="str">
        <v/>
      </c>
      <c r="F187" s="690"/>
      <c r="G187" s="690"/>
      <c r="H187" s="690"/>
      <c r="I187" s="690"/>
      <c r="J187" s="690"/>
      <c r="K187" s="690"/>
    </row>
    <row r="188" spans="1:11" ht="18.899999999999999" customHeight="1">
      <c r="A188" s="690"/>
      <c r="B188" s="643" t="str">
        <v>56</v>
      </c>
      <c r="C188" s="13" t="str">
        <v>C3. Gazomierze rotorowe</v>
      </c>
      <c r="D188" s="9" t="str">
        <f t="shared" si="6"/>
        <v>[tys. zł/szt.]</v>
      </c>
      <c r="E188" s="155" t="str">
        <v/>
      </c>
      <c r="F188" s="690"/>
      <c r="G188" s="690"/>
      <c r="H188" s="690"/>
      <c r="I188" s="690"/>
      <c r="J188" s="690"/>
      <c r="K188" s="690"/>
    </row>
    <row r="189" spans="1:11" ht="18.899999999999999" customHeight="1" thickBot="1">
      <c r="A189" s="690"/>
      <c r="B189" s="648" t="str">
        <v>57</v>
      </c>
      <c r="C189" s="16" t="str">
        <v xml:space="preserve">C4. Inne </v>
      </c>
      <c r="D189" s="17" t="str">
        <f t="shared" si="6"/>
        <v>[tys. zł/szt.]</v>
      </c>
      <c r="E189" s="157" t="str">
        <v/>
      </c>
      <c r="F189" s="690"/>
      <c r="G189" s="690"/>
      <c r="H189" s="690"/>
      <c r="I189" s="690"/>
      <c r="J189" s="690"/>
      <c r="K189" s="690"/>
    </row>
    <row r="190" spans="1:11" ht="18.899999999999999" customHeight="1">
      <c r="A190" s="690"/>
      <c r="B190" s="690"/>
      <c r="C190" s="690"/>
      <c r="D190" s="690"/>
      <c r="E190" s="690"/>
      <c r="F190" s="690"/>
      <c r="G190" s="690"/>
      <c r="H190" s="690"/>
      <c r="I190" s="690"/>
      <c r="J190" s="690"/>
      <c r="K190" s="690"/>
    </row>
    <row r="191" spans="1:11" ht="18.899999999999999" customHeight="1">
      <c r="A191" s="690"/>
      <c r="B191" s="690"/>
      <c r="C191" s="690"/>
      <c r="D191" s="690"/>
      <c r="E191" s="690"/>
      <c r="F191" s="690"/>
      <c r="G191" s="690"/>
      <c r="H191" s="690"/>
      <c r="I191" s="690"/>
      <c r="J191" s="690"/>
      <c r="K191" s="690"/>
    </row>
    <row r="192" spans="1:11" ht="18.899999999999999" customHeight="1">
      <c r="K192" s="690"/>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xr:uid="{00000000-0004-0000-0300-000000000000}"/>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2"/>
  <dimension ref="A1:L247"/>
  <sheetViews>
    <sheetView zoomScale="90" zoomScaleNormal="90" workbookViewId="0">
      <pane ySplit="7" topLeftCell="A212" activePane="bottomLeft" state="frozen"/>
      <selection activeCell="B1" sqref="B1"/>
      <selection pane="bottomLeft" activeCell="C37" sqref="C37:C38"/>
    </sheetView>
  </sheetViews>
  <sheetFormatPr defaultColWidth="8.90625" defaultRowHeight="13.2"/>
  <cols>
    <col min="1" max="1" width="3.81640625" style="148" customWidth="1"/>
    <col min="2" max="2" width="4.81640625" style="148" customWidth="1"/>
    <col min="3" max="3" width="66.81640625" style="148" customWidth="1"/>
    <col min="4" max="4" width="12.81640625" style="148" customWidth="1"/>
    <col min="5" max="6" width="15.81640625" style="148" customWidth="1"/>
    <col min="7" max="11" width="10.81640625" style="148" customWidth="1"/>
    <col min="12" max="16384" width="8.90625" style="148"/>
  </cols>
  <sheetData>
    <row r="1" spans="1:12" ht="18.899999999999999" customHeight="1">
      <c r="A1" s="690"/>
      <c r="B1" s="690"/>
      <c r="C1" s="943" t="str">
        <f>"&gt;&gt; powrót do spisu treści"</f>
        <v>&gt;&gt; powrót do spisu treści</v>
      </c>
      <c r="D1" s="690"/>
      <c r="E1" s="690"/>
      <c r="F1" s="690"/>
      <c r="G1" s="690"/>
      <c r="H1" s="690"/>
      <c r="I1" s="690"/>
      <c r="J1" s="690"/>
      <c r="K1" s="690"/>
    </row>
    <row r="2" spans="1:12" ht="39.9" customHeight="1">
      <c r="A2" s="690"/>
      <c r="B2" s="1005" t="s">
        <v>239</v>
      </c>
      <c r="C2" s="1006"/>
      <c r="D2" s="1006"/>
      <c r="E2" s="1006"/>
      <c r="F2" s="1006"/>
      <c r="G2" s="1006"/>
      <c r="H2" s="690"/>
      <c r="I2" s="690"/>
      <c r="J2" s="690"/>
      <c r="K2" s="690"/>
    </row>
    <row r="3" spans="1:12" ht="30" customHeight="1">
      <c r="A3" s="690"/>
      <c r="B3" s="686" t="s">
        <v>14</v>
      </c>
      <c r="C3" s="1007" t="s">
        <v>273</v>
      </c>
      <c r="D3" s="1008"/>
      <c r="E3" s="1008"/>
      <c r="F3" s="1008"/>
      <c r="G3" s="1008"/>
      <c r="H3" s="710"/>
      <c r="I3" s="710"/>
      <c r="J3" s="710"/>
      <c r="K3" s="710"/>
    </row>
    <row r="4" spans="1:12" ht="30" customHeight="1">
      <c r="A4" s="690"/>
      <c r="B4" s="686" t="s">
        <v>29</v>
      </c>
      <c r="C4" s="1011" t="s">
        <v>243</v>
      </c>
      <c r="D4" s="1012"/>
      <c r="E4" s="1012"/>
      <c r="F4" s="1012"/>
      <c r="G4" s="1012"/>
      <c r="H4" s="710"/>
      <c r="I4" s="710"/>
      <c r="J4" s="710"/>
      <c r="K4" s="710"/>
    </row>
    <row r="5" spans="1:12" ht="30" customHeight="1">
      <c r="A5" s="690"/>
      <c r="B5" s="686" t="s">
        <v>30</v>
      </c>
      <c r="C5" s="1011" t="s">
        <v>244</v>
      </c>
      <c r="D5" s="1012"/>
      <c r="E5" s="1012"/>
      <c r="F5" s="1012"/>
      <c r="G5" s="1012"/>
      <c r="H5" s="710"/>
      <c r="I5" s="710"/>
      <c r="J5" s="710"/>
      <c r="K5" s="710"/>
    </row>
    <row r="6" spans="1:12" ht="15" customHeight="1">
      <c r="A6" s="690"/>
      <c r="B6" s="686" t="s">
        <v>37</v>
      </c>
      <c r="C6" s="1011" t="s">
        <v>242</v>
      </c>
      <c r="D6" s="1012"/>
      <c r="E6" s="1012"/>
      <c r="F6" s="1012"/>
      <c r="G6" s="1012"/>
      <c r="H6" s="710"/>
      <c r="I6" s="710"/>
      <c r="J6" s="710"/>
      <c r="K6" s="710"/>
    </row>
    <row r="7" spans="1:12" ht="30" customHeight="1">
      <c r="A7" s="690"/>
      <c r="B7" s="686" t="s">
        <v>41</v>
      </c>
      <c r="C7" s="1011" t="s">
        <v>241</v>
      </c>
      <c r="D7" s="1012"/>
      <c r="E7" s="1012"/>
      <c r="F7" s="1012"/>
      <c r="G7" s="1012"/>
      <c r="H7" s="710"/>
      <c r="I7" s="710"/>
      <c r="J7" s="710"/>
      <c r="K7" s="710"/>
      <c r="L7" s="821"/>
    </row>
    <row r="8" spans="1:12" ht="30" customHeight="1" thickBot="1">
      <c r="A8" s="690"/>
      <c r="B8" s="700" t="s">
        <v>236</v>
      </c>
      <c r="C8" s="690"/>
      <c r="D8" s="690"/>
      <c r="E8" s="690"/>
      <c r="F8" s="690"/>
      <c r="G8" s="690"/>
      <c r="H8" s="690"/>
      <c r="I8" s="690"/>
      <c r="J8" s="690"/>
      <c r="K8" s="690"/>
    </row>
    <row r="9" spans="1:12" ht="18.899999999999999" customHeight="1">
      <c r="A9" s="690"/>
      <c r="B9" s="996" t="str">
        <f>'Tab.G1.1-4'!$B$8</f>
        <v>LP</v>
      </c>
      <c r="C9" s="1003" t="str">
        <f>'Tab.G1.1-4'!$C$8</f>
        <v>Wyszczególnienie</v>
      </c>
      <c r="D9" s="999"/>
      <c r="E9" s="632" t="str">
        <f>'Tab.G1.1-4'!$E$8</f>
        <v>Wykonanie</v>
      </c>
      <c r="F9" s="277"/>
      <c r="G9" s="277"/>
      <c r="H9" s="690"/>
      <c r="I9" s="690"/>
      <c r="J9" s="690"/>
      <c r="K9" s="690"/>
    </row>
    <row r="10" spans="1:12" ht="18.899999999999999" customHeight="1">
      <c r="A10" s="690"/>
      <c r="B10" s="997"/>
      <c r="C10" s="1004"/>
      <c r="D10" s="1001"/>
      <c r="E10" s="633">
        <f>Rok_ZPR</f>
        <v>2020</v>
      </c>
      <c r="F10" s="277"/>
      <c r="G10" s="277"/>
      <c r="H10" s="690"/>
      <c r="I10" s="690"/>
      <c r="J10" s="690"/>
      <c r="K10" s="690"/>
    </row>
    <row r="11" spans="1:12" ht="14.1" customHeight="1" thickBot="1">
      <c r="A11" s="690"/>
      <c r="B11" s="649" t="str">
        <f t="array" ref="B11:B67">Tab.G17!$B$10:$B$66</f>
        <v>01</v>
      </c>
      <c r="C11" s="994" t="str">
        <f>Tab.G17!$B$11</f>
        <v>02</v>
      </c>
      <c r="D11" s="995"/>
      <c r="E11" s="650" t="str">
        <f>Tab.G17!$B$12</f>
        <v>03</v>
      </c>
      <c r="F11" s="277"/>
      <c r="G11" s="277"/>
      <c r="H11" s="690"/>
      <c r="I11" s="690"/>
      <c r="J11" s="690"/>
      <c r="K11" s="690"/>
    </row>
    <row r="12" spans="1:12" ht="18.899999999999999" customHeight="1" thickBot="1">
      <c r="A12" s="690"/>
      <c r="B12" s="646" t="str">
        <v>02</v>
      </c>
      <c r="C12" s="711" t="s">
        <v>116</v>
      </c>
      <c r="D12" s="712" t="str">
        <f>'Tab.G1.1-4'!$D$11</f>
        <v>[tys. zł]</v>
      </c>
      <c r="E12" s="713">
        <f>SUM(E13,E24,E35)</f>
        <v>0</v>
      </c>
      <c r="F12" s="277"/>
      <c r="G12" s="277"/>
      <c r="H12" s="690"/>
      <c r="I12" s="690"/>
      <c r="J12" s="690"/>
      <c r="K12" s="690"/>
    </row>
    <row r="13" spans="1:12" ht="18.899999999999999" customHeight="1" thickBot="1">
      <c r="A13" s="690"/>
      <c r="B13" s="638" t="str">
        <v>03</v>
      </c>
      <c r="C13" s="3" t="s">
        <v>124</v>
      </c>
      <c r="D13" s="4" t="str">
        <f>$D$12</f>
        <v>[tys. zł]</v>
      </c>
      <c r="E13" s="150">
        <f>SUM(E14,E19)</f>
        <v>0</v>
      </c>
      <c r="F13" s="277"/>
      <c r="G13" s="277"/>
      <c r="H13" s="690"/>
      <c r="I13" s="690"/>
      <c r="J13" s="690"/>
      <c r="K13" s="690"/>
    </row>
    <row r="14" spans="1:12" ht="18.899999999999999" customHeight="1">
      <c r="A14" s="690"/>
      <c r="B14" s="639" t="str">
        <v>04</v>
      </c>
      <c r="C14" s="261" t="s">
        <v>75</v>
      </c>
      <c r="D14" s="5" t="str">
        <f>$D$12</f>
        <v>[tys. zł]</v>
      </c>
      <c r="E14" s="151">
        <f>SUM(E15:E18)</f>
        <v>0</v>
      </c>
      <c r="F14" s="277"/>
      <c r="G14" s="277"/>
      <c r="H14" s="690"/>
      <c r="I14" s="690"/>
      <c r="J14" s="690"/>
      <c r="K14" s="690"/>
    </row>
    <row r="15" spans="1:12" ht="18.899999999999999" customHeight="1">
      <c r="A15" s="690"/>
      <c r="B15" s="640" t="str">
        <v>05</v>
      </c>
      <c r="C15" s="263" t="s">
        <v>76</v>
      </c>
      <c r="D15" s="6" t="str">
        <f>'Tab.G1.1-4'!$D$11</f>
        <v>[tys. zł]</v>
      </c>
      <c r="E15" s="152"/>
      <c r="F15" s="277"/>
      <c r="G15" s="277"/>
      <c r="H15" s="690"/>
      <c r="I15" s="690"/>
      <c r="J15" s="690"/>
      <c r="K15" s="690"/>
    </row>
    <row r="16" spans="1:12" ht="18.899999999999999" customHeight="1">
      <c r="A16" s="690"/>
      <c r="B16" s="641" t="str">
        <v>06</v>
      </c>
      <c r="C16" s="264" t="s">
        <v>77</v>
      </c>
      <c r="D16" s="7" t="str">
        <f>'Tab.G1.1-4'!$D$11</f>
        <v>[tys. zł]</v>
      </c>
      <c r="E16" s="153"/>
      <c r="F16" s="277"/>
      <c r="G16" s="277"/>
      <c r="H16" s="690"/>
      <c r="I16" s="690"/>
      <c r="J16" s="690"/>
      <c r="K16" s="690"/>
    </row>
    <row r="17" spans="1:11" ht="18.899999999999999" customHeight="1">
      <c r="A17" s="690"/>
      <c r="B17" s="641" t="str">
        <v>07</v>
      </c>
      <c r="C17" s="264" t="s">
        <v>78</v>
      </c>
      <c r="D17" s="7" t="str">
        <f>'Tab.G1.1-4'!$D$11</f>
        <v>[tys. zł]</v>
      </c>
      <c r="E17" s="153"/>
      <c r="F17" s="277"/>
      <c r="G17" s="277"/>
      <c r="H17" s="690"/>
      <c r="I17" s="690"/>
      <c r="J17" s="690"/>
      <c r="K17" s="690"/>
    </row>
    <row r="18" spans="1:11" ht="18.899999999999999" customHeight="1">
      <c r="A18" s="690"/>
      <c r="B18" s="642" t="str">
        <v>08</v>
      </c>
      <c r="C18" s="267" t="s">
        <v>79</v>
      </c>
      <c r="D18" s="8" t="str">
        <f>'Tab.G1.1-4'!$D$11</f>
        <v>[tys. zł]</v>
      </c>
      <c r="E18" s="154"/>
      <c r="F18" s="277"/>
      <c r="G18" s="277"/>
      <c r="H18" s="690"/>
      <c r="I18" s="690"/>
      <c r="J18" s="690"/>
      <c r="K18" s="690"/>
    </row>
    <row r="19" spans="1:11" ht="18.899999999999999" customHeight="1">
      <c r="A19" s="690"/>
      <c r="B19" s="643" t="str">
        <v>09</v>
      </c>
      <c r="C19" s="262" t="s">
        <v>80</v>
      </c>
      <c r="D19" s="9" t="str">
        <f>'Tab.G1.1-4'!$D$11</f>
        <v>[tys. zł]</v>
      </c>
      <c r="E19" s="155">
        <f>SUM(E20:E23)</f>
        <v>0</v>
      </c>
      <c r="F19" s="277"/>
      <c r="G19" s="277"/>
      <c r="H19" s="690"/>
      <c r="I19" s="690"/>
      <c r="J19" s="690"/>
      <c r="K19" s="690"/>
    </row>
    <row r="20" spans="1:11" ht="18.899999999999999" customHeight="1">
      <c r="A20" s="690"/>
      <c r="B20" s="640" t="str">
        <v>10</v>
      </c>
      <c r="C20" s="263" t="s">
        <v>76</v>
      </c>
      <c r="D20" s="6" t="str">
        <f>'Tab.G1.1-4'!$D$11</f>
        <v>[tys. zł]</v>
      </c>
      <c r="E20" s="152"/>
      <c r="F20" s="277"/>
      <c r="G20" s="277"/>
      <c r="H20" s="690"/>
      <c r="I20" s="690"/>
      <c r="J20" s="690"/>
      <c r="K20" s="690"/>
    </row>
    <row r="21" spans="1:11" ht="18.899999999999999" customHeight="1">
      <c r="A21" s="690"/>
      <c r="B21" s="641" t="str">
        <v>11</v>
      </c>
      <c r="C21" s="264" t="s">
        <v>77</v>
      </c>
      <c r="D21" s="7" t="str">
        <f>'Tab.G1.1-4'!$D$11</f>
        <v>[tys. zł]</v>
      </c>
      <c r="E21" s="153"/>
      <c r="F21" s="277"/>
      <c r="G21" s="277"/>
      <c r="H21" s="690"/>
      <c r="I21" s="690"/>
      <c r="J21" s="690"/>
      <c r="K21" s="690"/>
    </row>
    <row r="22" spans="1:11" ht="18.899999999999999" customHeight="1">
      <c r="A22" s="690"/>
      <c r="B22" s="641" t="str">
        <v>12</v>
      </c>
      <c r="C22" s="264" t="s">
        <v>78</v>
      </c>
      <c r="D22" s="7" t="str">
        <f>'Tab.G1.1-4'!$D$11</f>
        <v>[tys. zł]</v>
      </c>
      <c r="E22" s="153"/>
      <c r="F22" s="277"/>
      <c r="G22" s="277"/>
      <c r="H22" s="690"/>
      <c r="I22" s="690"/>
      <c r="J22" s="690"/>
      <c r="K22" s="690"/>
    </row>
    <row r="23" spans="1:11" ht="18.899999999999999" customHeight="1" thickBot="1">
      <c r="A23" s="690"/>
      <c r="B23" s="644" t="str">
        <v>13</v>
      </c>
      <c r="C23" s="268" t="s">
        <v>79</v>
      </c>
      <c r="D23" s="10" t="str">
        <f>'Tab.G1.1-4'!$D$11</f>
        <v>[tys. zł]</v>
      </c>
      <c r="E23" s="156"/>
      <c r="F23" s="277"/>
      <c r="G23" s="277"/>
      <c r="H23" s="690"/>
      <c r="I23" s="690"/>
      <c r="J23" s="690"/>
      <c r="K23" s="690"/>
    </row>
    <row r="24" spans="1:11" ht="18.899999999999999" customHeight="1" thickBot="1">
      <c r="A24" s="690"/>
      <c r="B24" s="638" t="str">
        <v>14</v>
      </c>
      <c r="C24" s="11" t="s">
        <v>125</v>
      </c>
      <c r="D24" s="4" t="str">
        <f>'Tab.G1.1-4'!$D$11</f>
        <v>[tys. zł]</v>
      </c>
      <c r="E24" s="150">
        <f>SUM(E25,E30)</f>
        <v>0</v>
      </c>
      <c r="F24" s="277"/>
      <c r="G24" s="277"/>
      <c r="H24" s="690"/>
      <c r="I24" s="690"/>
      <c r="J24" s="690"/>
      <c r="K24" s="690"/>
    </row>
    <row r="25" spans="1:11" ht="18.899999999999999" customHeight="1">
      <c r="A25" s="690"/>
      <c r="B25" s="639" t="str">
        <v>15</v>
      </c>
      <c r="C25" s="261" t="s">
        <v>75</v>
      </c>
      <c r="D25" s="5" t="str">
        <f>'Tab.G1.1-4'!$D$11</f>
        <v>[tys. zł]</v>
      </c>
      <c r="E25" s="151">
        <f>SUM(E26:E29)</f>
        <v>0</v>
      </c>
      <c r="F25" s="277"/>
      <c r="G25" s="277"/>
      <c r="H25" s="690"/>
      <c r="I25" s="690"/>
      <c r="J25" s="690"/>
      <c r="K25" s="690"/>
    </row>
    <row r="26" spans="1:11" ht="18.899999999999999" customHeight="1">
      <c r="A26" s="690"/>
      <c r="B26" s="640" t="str">
        <v>16</v>
      </c>
      <c r="C26" s="263" t="s">
        <v>81</v>
      </c>
      <c r="D26" s="6" t="str">
        <f>'Tab.G1.1-4'!$D$11</f>
        <v>[tys. zł]</v>
      </c>
      <c r="E26" s="152"/>
      <c r="F26" s="277"/>
      <c r="G26" s="277"/>
      <c r="H26" s="690"/>
      <c r="I26" s="690"/>
      <c r="J26" s="690"/>
      <c r="K26" s="690"/>
    </row>
    <row r="27" spans="1:11" ht="18.899999999999999" customHeight="1">
      <c r="A27" s="690"/>
      <c r="B27" s="641" t="str">
        <v>17</v>
      </c>
      <c r="C27" s="264" t="s">
        <v>78</v>
      </c>
      <c r="D27" s="7" t="str">
        <f>'Tab.G1.1-4'!$D$11</f>
        <v>[tys. zł]</v>
      </c>
      <c r="E27" s="153"/>
      <c r="F27" s="277"/>
      <c r="G27" s="277"/>
      <c r="H27" s="690"/>
      <c r="I27" s="690"/>
      <c r="J27" s="690"/>
      <c r="K27" s="690"/>
    </row>
    <row r="28" spans="1:11" ht="18.899999999999999" customHeight="1">
      <c r="A28" s="690"/>
      <c r="B28" s="641" t="str">
        <v>18</v>
      </c>
      <c r="C28" s="265" t="s">
        <v>82</v>
      </c>
      <c r="D28" s="7" t="str">
        <f>'Tab.G1.1-4'!$D$11</f>
        <v>[tys. zł]</v>
      </c>
      <c r="E28" s="153"/>
      <c r="F28" s="277"/>
      <c r="G28" s="277"/>
      <c r="H28" s="690"/>
      <c r="I28" s="690"/>
      <c r="J28" s="690"/>
      <c r="K28" s="690"/>
    </row>
    <row r="29" spans="1:11" ht="18.899999999999999" customHeight="1">
      <c r="A29" s="690"/>
      <c r="B29" s="642" t="str">
        <v>19</v>
      </c>
      <c r="C29" s="267" t="s">
        <v>83</v>
      </c>
      <c r="D29" s="8" t="str">
        <f>'Tab.G1.1-4'!$D$11</f>
        <v>[tys. zł]</v>
      </c>
      <c r="E29" s="154"/>
      <c r="F29" s="277"/>
      <c r="G29" s="277"/>
      <c r="H29" s="690"/>
      <c r="I29" s="690"/>
      <c r="J29" s="690"/>
      <c r="K29" s="690"/>
    </row>
    <row r="30" spans="1:11" ht="18.899999999999999" customHeight="1">
      <c r="A30" s="690"/>
      <c r="B30" s="643" t="str">
        <v>20</v>
      </c>
      <c r="C30" s="262" t="s">
        <v>80</v>
      </c>
      <c r="D30" s="9" t="str">
        <f>'Tab.G1.1-4'!$D$11</f>
        <v>[tys. zł]</v>
      </c>
      <c r="E30" s="155">
        <f>SUM(E31:E34)</f>
        <v>0</v>
      </c>
      <c r="F30" s="277"/>
      <c r="G30" s="277"/>
      <c r="H30" s="690"/>
      <c r="I30" s="690"/>
      <c r="J30" s="690"/>
      <c r="K30" s="690"/>
    </row>
    <row r="31" spans="1:11" ht="18.899999999999999" customHeight="1">
      <c r="A31" s="690"/>
      <c r="B31" s="640" t="str">
        <v>21</v>
      </c>
      <c r="C31" s="263" t="s">
        <v>81</v>
      </c>
      <c r="D31" s="6" t="str">
        <f>'Tab.G1.1-4'!$D$11</f>
        <v>[tys. zł]</v>
      </c>
      <c r="E31" s="152"/>
      <c r="F31" s="277"/>
      <c r="G31" s="277"/>
      <c r="H31" s="690"/>
      <c r="I31" s="690"/>
      <c r="J31" s="690"/>
      <c r="K31" s="690"/>
    </row>
    <row r="32" spans="1:11" ht="18.899999999999999" customHeight="1">
      <c r="A32" s="690"/>
      <c r="B32" s="641" t="str">
        <v>22</v>
      </c>
      <c r="C32" s="264" t="s">
        <v>78</v>
      </c>
      <c r="D32" s="7" t="str">
        <f>'Tab.G1.1-4'!$D$11</f>
        <v>[tys. zł]</v>
      </c>
      <c r="E32" s="153"/>
      <c r="F32" s="277"/>
      <c r="G32" s="277"/>
      <c r="H32" s="690"/>
      <c r="I32" s="690"/>
      <c r="J32" s="690"/>
      <c r="K32" s="690"/>
    </row>
    <row r="33" spans="1:11" ht="18.899999999999999" customHeight="1">
      <c r="A33" s="690"/>
      <c r="B33" s="641" t="str">
        <v>23</v>
      </c>
      <c r="C33" s="265" t="s">
        <v>82</v>
      </c>
      <c r="D33" s="7" t="str">
        <f>'Tab.G1.1-4'!$D$11</f>
        <v>[tys. zł]</v>
      </c>
      <c r="E33" s="153"/>
      <c r="F33" s="277"/>
      <c r="G33" s="277"/>
      <c r="H33" s="690"/>
      <c r="I33" s="690"/>
      <c r="J33" s="690"/>
      <c r="K33" s="690"/>
    </row>
    <row r="34" spans="1:11" ht="18.899999999999999" customHeight="1" thickBot="1">
      <c r="A34" s="690"/>
      <c r="B34" s="644" t="str">
        <v>24</v>
      </c>
      <c r="C34" s="268" t="s">
        <v>83</v>
      </c>
      <c r="D34" s="10" t="str">
        <f>'Tab.G1.1-4'!$D$11</f>
        <v>[tys. zł]</v>
      </c>
      <c r="E34" s="156"/>
      <c r="F34" s="277"/>
      <c r="G34" s="277"/>
      <c r="H34" s="690"/>
      <c r="I34" s="690"/>
      <c r="J34" s="690"/>
      <c r="K34" s="690"/>
    </row>
    <row r="35" spans="1:11" ht="18.899999999999999" customHeight="1" thickBot="1">
      <c r="A35" s="690"/>
      <c r="B35" s="638" t="str">
        <v>25</v>
      </c>
      <c r="C35" s="11" t="s">
        <v>118</v>
      </c>
      <c r="D35" s="4" t="str">
        <f>'Tab.G1.1-4'!$D$11</f>
        <v>[tys. zł]</v>
      </c>
      <c r="E35" s="150">
        <f>SUM(E36,E41)</f>
        <v>0</v>
      </c>
      <c r="F35" s="277"/>
      <c r="G35" s="277"/>
      <c r="H35" s="690"/>
      <c r="I35" s="690"/>
      <c r="J35" s="690"/>
      <c r="K35" s="690"/>
    </row>
    <row r="36" spans="1:11" ht="18.899999999999999" customHeight="1">
      <c r="A36" s="690"/>
      <c r="B36" s="639" t="str">
        <v>26</v>
      </c>
      <c r="C36" s="261" t="s">
        <v>75</v>
      </c>
      <c r="D36" s="5" t="str">
        <f>'Tab.G1.1-4'!$D$11</f>
        <v>[tys. zł]</v>
      </c>
      <c r="E36" s="151">
        <f>SUM(E37:E40)</f>
        <v>0</v>
      </c>
      <c r="F36" s="277"/>
      <c r="G36" s="277"/>
      <c r="H36" s="690"/>
      <c r="I36" s="690"/>
      <c r="J36" s="690"/>
      <c r="K36" s="690"/>
    </row>
    <row r="37" spans="1:11" ht="18.899999999999999" customHeight="1">
      <c r="A37" s="690"/>
      <c r="B37" s="640" t="str">
        <v>27</v>
      </c>
      <c r="C37" s="263" t="s">
        <v>284</v>
      </c>
      <c r="D37" s="6" t="str">
        <f>'Tab.G1.1-4'!$D$11</f>
        <v>[tys. zł]</v>
      </c>
      <c r="E37" s="152"/>
      <c r="F37" s="277"/>
      <c r="G37" s="277"/>
      <c r="H37" s="690"/>
      <c r="I37" s="690"/>
      <c r="J37" s="690"/>
      <c r="K37" s="690"/>
    </row>
    <row r="38" spans="1:11" ht="18.899999999999999" customHeight="1">
      <c r="A38" s="690"/>
      <c r="B38" s="641" t="str">
        <v>28</v>
      </c>
      <c r="C38" s="265" t="s">
        <v>82</v>
      </c>
      <c r="D38" s="7" t="str">
        <f>'Tab.G1.1-4'!$D$11</f>
        <v>[tys. zł]</v>
      </c>
      <c r="E38" s="153"/>
      <c r="F38" s="277"/>
      <c r="G38" s="277"/>
      <c r="H38" s="690"/>
      <c r="I38" s="690"/>
      <c r="J38" s="690"/>
      <c r="K38" s="690"/>
    </row>
    <row r="39" spans="1:11" ht="18.899999999999999" customHeight="1">
      <c r="A39" s="690"/>
      <c r="B39" s="641" t="str">
        <v>29</v>
      </c>
      <c r="C39" s="265" t="s">
        <v>86</v>
      </c>
      <c r="D39" s="7" t="str">
        <f>'Tab.G1.1-4'!$D$11</f>
        <v>[tys. zł]</v>
      </c>
      <c r="E39" s="153"/>
      <c r="F39" s="277"/>
      <c r="G39" s="277"/>
      <c r="H39" s="690"/>
      <c r="I39" s="690"/>
      <c r="J39" s="690"/>
      <c r="K39" s="690"/>
    </row>
    <row r="40" spans="1:11" ht="18.899999999999999" customHeight="1">
      <c r="A40" s="690"/>
      <c r="B40" s="642" t="str">
        <v>30</v>
      </c>
      <c r="C40" s="272" t="s">
        <v>87</v>
      </c>
      <c r="D40" s="8" t="str">
        <f>'Tab.G1.1-4'!$D$11</f>
        <v>[tys. zł]</v>
      </c>
      <c r="E40" s="154"/>
      <c r="F40" s="277"/>
      <c r="G40" s="277"/>
      <c r="H40" s="690"/>
      <c r="I40" s="690"/>
      <c r="J40" s="690"/>
      <c r="K40" s="690"/>
    </row>
    <row r="41" spans="1:11" ht="18.899999999999999" customHeight="1">
      <c r="A41" s="690"/>
      <c r="B41" s="643" t="str">
        <v>31</v>
      </c>
      <c r="C41" s="262" t="s">
        <v>80</v>
      </c>
      <c r="D41" s="9" t="str">
        <f>'Tab.G1.1-4'!$D$11</f>
        <v>[tys. zł]</v>
      </c>
      <c r="E41" s="155">
        <f>SUM(E42:E45)</f>
        <v>0</v>
      </c>
      <c r="F41" s="277"/>
      <c r="G41" s="277"/>
      <c r="H41" s="690"/>
      <c r="I41" s="690"/>
      <c r="J41" s="690"/>
      <c r="K41" s="690"/>
    </row>
    <row r="42" spans="1:11" ht="18.899999999999999" customHeight="1">
      <c r="A42" s="690"/>
      <c r="B42" s="640" t="str">
        <v>32</v>
      </c>
      <c r="C42" s="263" t="s">
        <v>284</v>
      </c>
      <c r="D42" s="6" t="str">
        <f>'Tab.G1.1-4'!$D$11</f>
        <v>[tys. zł]</v>
      </c>
      <c r="E42" s="152"/>
      <c r="F42" s="277"/>
      <c r="G42" s="277"/>
      <c r="H42" s="690"/>
      <c r="I42" s="690"/>
      <c r="J42" s="690"/>
      <c r="K42" s="690"/>
    </row>
    <row r="43" spans="1:11" ht="18.899999999999999" customHeight="1">
      <c r="A43" s="690"/>
      <c r="B43" s="641" t="str">
        <v>33</v>
      </c>
      <c r="C43" s="265" t="s">
        <v>82</v>
      </c>
      <c r="D43" s="7" t="str">
        <f>'Tab.G1.1-4'!$D$11</f>
        <v>[tys. zł]</v>
      </c>
      <c r="E43" s="153"/>
      <c r="F43" s="277"/>
      <c r="G43" s="277"/>
      <c r="H43" s="690"/>
      <c r="I43" s="690"/>
      <c r="J43" s="690"/>
      <c r="K43" s="690"/>
    </row>
    <row r="44" spans="1:11" ht="18.899999999999999" customHeight="1">
      <c r="A44" s="690"/>
      <c r="B44" s="641" t="str">
        <v>34</v>
      </c>
      <c r="C44" s="265" t="s">
        <v>86</v>
      </c>
      <c r="D44" s="7" t="str">
        <f>'Tab.G1.1-4'!$D$11</f>
        <v>[tys. zł]</v>
      </c>
      <c r="E44" s="153"/>
      <c r="F44" s="277"/>
      <c r="G44" s="277"/>
      <c r="H44" s="690"/>
      <c r="I44" s="690"/>
      <c r="J44" s="690"/>
      <c r="K44" s="690"/>
    </row>
    <row r="45" spans="1:11" ht="18.899999999999999" customHeight="1" thickBot="1">
      <c r="A45" s="690"/>
      <c r="B45" s="644" t="str">
        <v>35</v>
      </c>
      <c r="C45" s="272" t="s">
        <v>87</v>
      </c>
      <c r="D45" s="10" t="str">
        <f>'Tab.G1.1-4'!$D$11</f>
        <v>[tys. zł]</v>
      </c>
      <c r="E45" s="156"/>
      <c r="F45" s="277"/>
      <c r="G45" s="277"/>
      <c r="H45" s="690"/>
      <c r="I45" s="690"/>
      <c r="J45" s="690"/>
      <c r="K45" s="690"/>
    </row>
    <row r="46" spans="1:11" ht="18.899999999999999" customHeight="1" thickBot="1">
      <c r="A46" s="690"/>
      <c r="B46" s="646" t="str">
        <v>36</v>
      </c>
      <c r="C46" s="1" t="s">
        <v>117</v>
      </c>
      <c r="D46" s="2" t="str">
        <f>'Tab.G1.1-4'!$D$11</f>
        <v>[tys. zł]</v>
      </c>
      <c r="E46" s="149">
        <f>SUM(E47,E51,E55,E59:E60)</f>
        <v>0</v>
      </c>
      <c r="F46" s="277"/>
      <c r="G46" s="277"/>
      <c r="H46" s="690"/>
      <c r="I46" s="690"/>
      <c r="J46" s="690"/>
      <c r="K46" s="690"/>
    </row>
    <row r="47" spans="1:11" ht="18.899999999999999" customHeight="1">
      <c r="A47" s="690"/>
      <c r="B47" s="639" t="str">
        <v>37</v>
      </c>
      <c r="C47" s="12" t="s">
        <v>119</v>
      </c>
      <c r="D47" s="5" t="str">
        <f>'Tab.G1.1-4'!$D$11</f>
        <v>[tys. zł]</v>
      </c>
      <c r="E47" s="151">
        <f>SUM(E48:E50)</f>
        <v>0</v>
      </c>
      <c r="F47" s="277"/>
      <c r="G47" s="277"/>
      <c r="H47" s="690"/>
      <c r="I47" s="690"/>
      <c r="J47" s="690"/>
      <c r="K47" s="690"/>
    </row>
    <row r="48" spans="1:11" ht="18.899999999999999" customHeight="1">
      <c r="A48" s="690"/>
      <c r="B48" s="640" t="str">
        <v>38</v>
      </c>
      <c r="C48" s="263" t="s">
        <v>88</v>
      </c>
      <c r="D48" s="6" t="str">
        <f>'Tab.G1.1-4'!$D$11</f>
        <v>[tys. zł]</v>
      </c>
      <c r="E48" s="152"/>
      <c r="F48" s="277"/>
      <c r="G48" s="277"/>
      <c r="H48" s="690"/>
      <c r="I48" s="690"/>
      <c r="J48" s="690"/>
      <c r="K48" s="690"/>
    </row>
    <row r="49" spans="1:11" ht="18.899999999999999" customHeight="1">
      <c r="A49" s="690"/>
      <c r="B49" s="641" t="str">
        <v>39</v>
      </c>
      <c r="C49" s="264" t="s">
        <v>89</v>
      </c>
      <c r="D49" s="7" t="str">
        <f>'Tab.G1.1-4'!$D$11</f>
        <v>[tys. zł]</v>
      </c>
      <c r="E49" s="153"/>
      <c r="F49" s="277"/>
      <c r="G49" s="277"/>
      <c r="H49" s="690"/>
      <c r="I49" s="690"/>
      <c r="J49" s="690"/>
      <c r="K49" s="690"/>
    </row>
    <row r="50" spans="1:11" ht="18.899999999999999" customHeight="1">
      <c r="A50" s="690"/>
      <c r="B50" s="642" t="str">
        <v>40</v>
      </c>
      <c r="C50" s="272" t="s">
        <v>90</v>
      </c>
      <c r="D50" s="8" t="str">
        <f>'Tab.G1.1-4'!$D$11</f>
        <v>[tys. zł]</v>
      </c>
      <c r="E50" s="154"/>
      <c r="F50" s="277"/>
      <c r="G50" s="277"/>
      <c r="H50" s="690"/>
      <c r="I50" s="690"/>
      <c r="J50" s="690"/>
      <c r="K50" s="690"/>
    </row>
    <row r="51" spans="1:11" ht="18.899999999999999" customHeight="1">
      <c r="A51" s="690"/>
      <c r="B51" s="643" t="str">
        <v>41</v>
      </c>
      <c r="C51" s="13" t="s">
        <v>120</v>
      </c>
      <c r="D51" s="9" t="str">
        <f>'Tab.G1.1-4'!$D$11</f>
        <v>[tys. zł]</v>
      </c>
      <c r="E51" s="155">
        <f>SUM(E52:E54)</f>
        <v>0</v>
      </c>
      <c r="F51" s="277"/>
      <c r="G51" s="277"/>
      <c r="H51" s="690"/>
      <c r="I51" s="690"/>
      <c r="J51" s="690"/>
      <c r="K51" s="690"/>
    </row>
    <row r="52" spans="1:11" ht="18.899999999999999" customHeight="1">
      <c r="A52" s="690"/>
      <c r="B52" s="640" t="str">
        <v>42</v>
      </c>
      <c r="C52" s="263" t="s">
        <v>91</v>
      </c>
      <c r="D52" s="6" t="str">
        <f>'Tab.G1.1-4'!$D$11</f>
        <v>[tys. zł]</v>
      </c>
      <c r="E52" s="152"/>
      <c r="F52" s="277"/>
      <c r="G52" s="277"/>
      <c r="H52" s="690"/>
      <c r="I52" s="690"/>
      <c r="J52" s="690"/>
      <c r="K52" s="690"/>
    </row>
    <row r="53" spans="1:11" ht="18.899999999999999" customHeight="1">
      <c r="A53" s="690"/>
      <c r="B53" s="641" t="str">
        <v>43</v>
      </c>
      <c r="C53" s="265" t="s">
        <v>92</v>
      </c>
      <c r="D53" s="7" t="str">
        <f>'Tab.G1.1-4'!$D$11</f>
        <v>[tys. zł]</v>
      </c>
      <c r="E53" s="153"/>
      <c r="F53" s="277"/>
      <c r="G53" s="277"/>
      <c r="H53" s="690"/>
      <c r="I53" s="690"/>
      <c r="J53" s="690"/>
      <c r="K53" s="690"/>
    </row>
    <row r="54" spans="1:11" ht="18.899999999999999" customHeight="1">
      <c r="A54" s="690"/>
      <c r="B54" s="642" t="str">
        <v>44</v>
      </c>
      <c r="C54" s="272" t="s">
        <v>93</v>
      </c>
      <c r="D54" s="8" t="str">
        <f>'Tab.G1.1-4'!$D$11</f>
        <v>[tys. zł]</v>
      </c>
      <c r="E54" s="154"/>
      <c r="F54" s="277"/>
      <c r="G54" s="277"/>
      <c r="H54" s="690"/>
      <c r="I54" s="690"/>
      <c r="J54" s="690"/>
      <c r="K54" s="690"/>
    </row>
    <row r="55" spans="1:11" ht="18.899999999999999" customHeight="1">
      <c r="A55" s="690"/>
      <c r="B55" s="643" t="str">
        <v>45</v>
      </c>
      <c r="C55" s="13" t="s">
        <v>121</v>
      </c>
      <c r="D55" s="9" t="str">
        <f>'Tab.G1.1-4'!$D$11</f>
        <v>[tys. zł]</v>
      </c>
      <c r="E55" s="155">
        <f>SUM(E56:E58)</f>
        <v>0</v>
      </c>
      <c r="F55" s="277"/>
      <c r="G55" s="277"/>
      <c r="H55" s="690"/>
      <c r="I55" s="690"/>
      <c r="J55" s="690"/>
      <c r="K55" s="690"/>
    </row>
    <row r="56" spans="1:11" ht="18.899999999999999" customHeight="1">
      <c r="A56" s="690"/>
      <c r="B56" s="640" t="str">
        <v>46</v>
      </c>
      <c r="C56" s="263" t="s">
        <v>91</v>
      </c>
      <c r="D56" s="6" t="str">
        <f>'Tab.G1.1-4'!$D$11</f>
        <v>[tys. zł]</v>
      </c>
      <c r="E56" s="152"/>
      <c r="F56" s="277"/>
      <c r="G56" s="277"/>
      <c r="H56" s="690"/>
      <c r="I56" s="690"/>
      <c r="J56" s="690"/>
      <c r="K56" s="690"/>
    </row>
    <row r="57" spans="1:11" ht="18.899999999999999" customHeight="1">
      <c r="A57" s="690"/>
      <c r="B57" s="641" t="str">
        <v>47</v>
      </c>
      <c r="C57" s="265" t="s">
        <v>92</v>
      </c>
      <c r="D57" s="7" t="str">
        <f>'Tab.G1.1-4'!$D$11</f>
        <v>[tys. zł]</v>
      </c>
      <c r="E57" s="153"/>
      <c r="F57" s="277"/>
      <c r="G57" s="277"/>
      <c r="H57" s="690"/>
      <c r="I57" s="690"/>
      <c r="J57" s="690"/>
      <c r="K57" s="690"/>
    </row>
    <row r="58" spans="1:11" ht="18.899999999999999" customHeight="1">
      <c r="A58" s="690"/>
      <c r="B58" s="642" t="str">
        <v>48</v>
      </c>
      <c r="C58" s="272" t="s">
        <v>93</v>
      </c>
      <c r="D58" s="8" t="str">
        <f>'Tab.G1.1-4'!$D$11</f>
        <v>[tys. zł]</v>
      </c>
      <c r="E58" s="154"/>
      <c r="F58" s="277"/>
      <c r="G58" s="277"/>
      <c r="H58" s="690"/>
      <c r="I58" s="690"/>
      <c r="J58" s="690"/>
      <c r="K58" s="690"/>
    </row>
    <row r="59" spans="1:11" ht="18.899999999999999" customHeight="1">
      <c r="A59" s="690"/>
      <c r="B59" s="647" t="str">
        <v>49</v>
      </c>
      <c r="C59" s="14" t="s">
        <v>122</v>
      </c>
      <c r="D59" s="15" t="str">
        <f>'Tab.G1.1-4'!$D$11</f>
        <v>[tys. zł]</v>
      </c>
      <c r="E59" s="155"/>
      <c r="F59" s="277"/>
      <c r="G59" s="277"/>
      <c r="H59" s="690"/>
      <c r="I59" s="690"/>
      <c r="J59" s="690"/>
      <c r="K59" s="690"/>
    </row>
    <row r="60" spans="1:11" ht="18.899999999999999" customHeight="1" thickBot="1">
      <c r="A60" s="690"/>
      <c r="B60" s="648" t="str">
        <v>50</v>
      </c>
      <c r="C60" s="16" t="s">
        <v>123</v>
      </c>
      <c r="D60" s="17" t="str">
        <f>'Tab.G1.1-4'!$D$11</f>
        <v>[tys. zł]</v>
      </c>
      <c r="E60" s="157"/>
      <c r="F60" s="277"/>
      <c r="G60" s="277"/>
      <c r="H60" s="690"/>
      <c r="I60" s="690"/>
      <c r="J60" s="690"/>
      <c r="K60" s="690"/>
    </row>
    <row r="61" spans="1:11" ht="18.899999999999999" customHeight="1" thickBot="1">
      <c r="A61" s="690"/>
      <c r="B61" s="646" t="str">
        <v>51</v>
      </c>
      <c r="C61" s="1" t="s">
        <v>130</v>
      </c>
      <c r="D61" s="2" t="str">
        <f>'Tab.G1.1-4'!$D$11</f>
        <v>[tys. zł]</v>
      </c>
      <c r="E61" s="149">
        <f>SUM(E62,E65:E67)</f>
        <v>0</v>
      </c>
      <c r="F61" s="690"/>
      <c r="G61" s="690"/>
      <c r="H61" s="690"/>
      <c r="I61" s="690"/>
      <c r="J61" s="690"/>
      <c r="K61" s="690"/>
    </row>
    <row r="62" spans="1:11" ht="18.899999999999999" customHeight="1">
      <c r="A62" s="690"/>
      <c r="B62" s="639" t="str">
        <v>52</v>
      </c>
      <c r="C62" s="12" t="s">
        <v>131</v>
      </c>
      <c r="D62" s="5" t="str">
        <f>'Tab.G1.1-4'!$D$11</f>
        <v>[tys. zł]</v>
      </c>
      <c r="E62" s="151">
        <f>SUM(E63:E64)</f>
        <v>0</v>
      </c>
      <c r="F62" s="690"/>
      <c r="G62" s="690"/>
      <c r="H62" s="690"/>
      <c r="I62" s="690"/>
      <c r="J62" s="690"/>
      <c r="K62" s="690"/>
    </row>
    <row r="63" spans="1:11" ht="18.899999999999999" customHeight="1">
      <c r="A63" s="690"/>
      <c r="B63" s="640" t="str">
        <v>53</v>
      </c>
      <c r="C63" s="266" t="s">
        <v>132</v>
      </c>
      <c r="D63" s="6" t="str">
        <f>'Tab.G1.1-4'!$D$11</f>
        <v>[tys. zł]</v>
      </c>
      <c r="E63" s="152"/>
      <c r="F63" s="690"/>
      <c r="G63" s="690"/>
      <c r="H63" s="690"/>
      <c r="I63" s="690"/>
      <c r="J63" s="690"/>
      <c r="K63" s="690"/>
    </row>
    <row r="64" spans="1:11" ht="18.899999999999999" customHeight="1">
      <c r="A64" s="690"/>
      <c r="B64" s="645" t="str">
        <v>54</v>
      </c>
      <c r="C64" s="269" t="s">
        <v>133</v>
      </c>
      <c r="D64" s="270" t="str">
        <f>'Tab.G1.1-4'!$D$11</f>
        <v>[tys. zł]</v>
      </c>
      <c r="E64" s="271"/>
      <c r="F64" s="690"/>
      <c r="G64" s="690"/>
      <c r="H64" s="690"/>
      <c r="I64" s="690"/>
      <c r="J64" s="690"/>
      <c r="K64" s="690"/>
    </row>
    <row r="65" spans="1:11" ht="18.899999999999999" customHeight="1">
      <c r="A65" s="690"/>
      <c r="B65" s="643" t="str">
        <v>55</v>
      </c>
      <c r="C65" s="13" t="s">
        <v>134</v>
      </c>
      <c r="D65" s="9" t="str">
        <f>'Tab.G1.1-4'!$D$11</f>
        <v>[tys. zł]</v>
      </c>
      <c r="E65" s="155"/>
      <c r="F65" s="690"/>
      <c r="G65" s="690"/>
      <c r="H65" s="690"/>
      <c r="I65" s="690"/>
      <c r="J65" s="690"/>
      <c r="K65" s="690"/>
    </row>
    <row r="66" spans="1:11" ht="18.899999999999999" customHeight="1">
      <c r="A66" s="690"/>
      <c r="B66" s="643" t="str">
        <v>56</v>
      </c>
      <c r="C66" s="13" t="s">
        <v>135</v>
      </c>
      <c r="D66" s="9" t="str">
        <f>'Tab.G1.1-4'!$D$11</f>
        <v>[tys. zł]</v>
      </c>
      <c r="E66" s="155"/>
      <c r="F66" s="690"/>
      <c r="G66" s="690"/>
      <c r="H66" s="690"/>
      <c r="I66" s="690"/>
      <c r="J66" s="690"/>
      <c r="K66" s="690"/>
    </row>
    <row r="67" spans="1:11" ht="18.899999999999999" customHeight="1" thickBot="1">
      <c r="A67" s="690"/>
      <c r="B67" s="648" t="str">
        <v>57</v>
      </c>
      <c r="C67" s="16" t="s">
        <v>136</v>
      </c>
      <c r="D67" s="17" t="str">
        <f>'Tab.G1.1-4'!$D$11</f>
        <v>[tys. zł]</v>
      </c>
      <c r="E67" s="157"/>
      <c r="F67" s="690"/>
      <c r="G67" s="690"/>
      <c r="H67" s="690"/>
      <c r="I67" s="690"/>
      <c r="J67" s="690"/>
      <c r="K67" s="690"/>
    </row>
    <row r="68" spans="1:11" ht="18.899999999999999" customHeight="1">
      <c r="A68" s="690"/>
      <c r="B68" s="690"/>
      <c r="C68" s="690"/>
      <c r="D68" s="690"/>
      <c r="E68" s="690"/>
      <c r="F68" s="690"/>
      <c r="G68" s="690"/>
      <c r="H68" s="690"/>
      <c r="I68" s="690"/>
      <c r="J68" s="690"/>
      <c r="K68" s="690"/>
    </row>
    <row r="69" spans="1:11" ht="18.899999999999999" customHeight="1">
      <c r="A69" s="690"/>
      <c r="B69" s="690"/>
      <c r="C69" s="690"/>
      <c r="D69" s="690"/>
      <c r="E69" s="690"/>
      <c r="F69" s="690"/>
      <c r="G69" s="690"/>
      <c r="H69" s="690"/>
      <c r="I69" s="690"/>
      <c r="J69" s="690"/>
      <c r="K69" s="690"/>
    </row>
    <row r="70" spans="1:11" ht="30" customHeight="1" thickBot="1">
      <c r="A70" s="690"/>
      <c r="B70" s="700" t="s">
        <v>237</v>
      </c>
      <c r="C70" s="690"/>
      <c r="D70" s="690"/>
      <c r="E70" s="690"/>
      <c r="F70" s="690"/>
      <c r="G70" s="690"/>
      <c r="H70" s="690"/>
      <c r="I70" s="690"/>
      <c r="J70" s="690"/>
      <c r="K70" s="690"/>
    </row>
    <row r="71" spans="1:11" ht="18.899999999999999" customHeight="1">
      <c r="A71" s="690"/>
      <c r="B71" s="996" t="str">
        <f>'Tab.G1.1-4'!$B$8</f>
        <v>LP</v>
      </c>
      <c r="C71" s="1003" t="str">
        <f>'Tab.G1.1-4'!$C$8</f>
        <v>Wyszczególnienie</v>
      </c>
      <c r="D71" s="999"/>
      <c r="E71" s="632" t="str">
        <f>'Tab.G1.1-4'!$E$8</f>
        <v>Wykonanie</v>
      </c>
      <c r="F71" s="277"/>
      <c r="G71" s="277"/>
      <c r="H71" s="690"/>
      <c r="I71" s="690"/>
      <c r="J71" s="690"/>
      <c r="K71" s="690"/>
    </row>
    <row r="72" spans="1:11" ht="18.899999999999999" customHeight="1">
      <c r="A72" s="690"/>
      <c r="B72" s="997"/>
      <c r="C72" s="1004"/>
      <c r="D72" s="1001"/>
      <c r="E72" s="633">
        <f>Rok_ZPR</f>
        <v>2020</v>
      </c>
      <c r="F72" s="277"/>
      <c r="G72" s="277"/>
      <c r="H72" s="690"/>
      <c r="I72" s="690"/>
      <c r="J72" s="690"/>
      <c r="K72" s="690"/>
    </row>
    <row r="73" spans="1:11" ht="14.1" customHeight="1" thickBot="1">
      <c r="A73" s="690"/>
      <c r="B73" s="649" t="str">
        <f t="array" ref="B73:B129">Tab.G17!$B$10:$B$66</f>
        <v>01</v>
      </c>
      <c r="C73" s="994" t="str">
        <f>Tab.G17!$B$11</f>
        <v>02</v>
      </c>
      <c r="D73" s="995"/>
      <c r="E73" s="650" t="str">
        <f>Tab.G17!$B$12</f>
        <v>03</v>
      </c>
      <c r="F73" s="277"/>
      <c r="G73" s="277"/>
      <c r="H73" s="690"/>
      <c r="I73" s="690"/>
      <c r="J73" s="690"/>
      <c r="K73" s="690"/>
    </row>
    <row r="74" spans="1:11" ht="18.899999999999999" customHeight="1" thickBot="1">
      <c r="A74" s="690"/>
      <c r="B74" s="646" t="str">
        <v>02</v>
      </c>
      <c r="C74" s="711" t="str">
        <f t="array" ref="C74:C129">$C$12:$C$67</f>
        <v>A. GAZOCIĄGI DYSTRYBUCYJNE, Z TEGO:</v>
      </c>
      <c r="D74" s="712" t="str">
        <f>"[km]"</f>
        <v>[km]</v>
      </c>
      <c r="E74" s="713">
        <f>SUM(E75,E86,E97)</f>
        <v>0</v>
      </c>
      <c r="F74" s="277"/>
      <c r="G74" s="277"/>
      <c r="H74" s="690"/>
      <c r="I74" s="690"/>
      <c r="J74" s="690"/>
      <c r="K74" s="690"/>
    </row>
    <row r="75" spans="1:11" ht="18.899999999999999" customHeight="1" thickBot="1">
      <c r="A75" s="690"/>
      <c r="B75" s="638" t="str">
        <v>03</v>
      </c>
      <c r="C75" s="3" t="str">
        <v>A1. Gazociągi wysokiego i podyższonego średniego ciśnienia</v>
      </c>
      <c r="D75" s="4" t="str">
        <f t="shared" ref="D75:D107" si="0">$D$74</f>
        <v>[km]</v>
      </c>
      <c r="E75" s="150">
        <f>SUM(E76,E81)</f>
        <v>0</v>
      </c>
      <c r="F75" s="277"/>
      <c r="G75" s="277"/>
      <c r="H75" s="690"/>
      <c r="I75" s="690"/>
      <c r="J75" s="690"/>
      <c r="K75" s="690"/>
    </row>
    <row r="76" spans="1:11" ht="18.899999999999999" customHeight="1">
      <c r="A76" s="690"/>
      <c r="B76" s="639" t="str">
        <v>04</v>
      </c>
      <c r="C76" s="261" t="str">
        <v>ze stali</v>
      </c>
      <c r="D76" s="5" t="str">
        <f t="shared" si="0"/>
        <v>[km]</v>
      </c>
      <c r="E76" s="151">
        <f>SUM(E77:E80)</f>
        <v>0</v>
      </c>
      <c r="F76" s="277"/>
      <c r="G76" s="277"/>
      <c r="H76" s="690"/>
      <c r="I76" s="690"/>
      <c r="J76" s="690"/>
      <c r="K76" s="690"/>
    </row>
    <row r="77" spans="1:11" ht="18.899999999999999" customHeight="1">
      <c r="A77" s="690"/>
      <c r="B77" s="640" t="str">
        <v>05</v>
      </c>
      <c r="C77" s="263" t="str">
        <v>300 &lt; DN[mm]</v>
      </c>
      <c r="D77" s="6" t="str">
        <f t="shared" si="0"/>
        <v>[km]</v>
      </c>
      <c r="E77" s="152"/>
      <c r="F77" s="277"/>
      <c r="G77" s="277"/>
      <c r="H77" s="690"/>
      <c r="I77" s="690"/>
      <c r="J77" s="690"/>
      <c r="K77" s="690"/>
    </row>
    <row r="78" spans="1:11" ht="18.899999999999999" customHeight="1">
      <c r="A78" s="690"/>
      <c r="B78" s="641" t="str">
        <v>06</v>
      </c>
      <c r="C78" s="264" t="str">
        <v>200 &lt; DN[mm] ≤ 300</v>
      </c>
      <c r="D78" s="7" t="str">
        <f t="shared" si="0"/>
        <v>[km]</v>
      </c>
      <c r="E78" s="153"/>
      <c r="F78" s="277"/>
      <c r="G78" s="277"/>
      <c r="H78" s="690"/>
      <c r="I78" s="690"/>
      <c r="J78" s="690"/>
      <c r="K78" s="690"/>
    </row>
    <row r="79" spans="1:11" ht="18.899999999999999" customHeight="1">
      <c r="A79" s="690"/>
      <c r="B79" s="641" t="str">
        <v>07</v>
      </c>
      <c r="C79" s="264" t="str">
        <v>100 &lt; DN[mm] ≤ 200</v>
      </c>
      <c r="D79" s="7" t="str">
        <f t="shared" si="0"/>
        <v>[km]</v>
      </c>
      <c r="E79" s="153"/>
      <c r="F79" s="277"/>
      <c r="G79" s="277"/>
      <c r="H79" s="690"/>
      <c r="I79" s="690"/>
      <c r="J79" s="690"/>
      <c r="K79" s="690"/>
    </row>
    <row r="80" spans="1:11" ht="18.899999999999999" customHeight="1">
      <c r="A80" s="690"/>
      <c r="B80" s="642" t="str">
        <v>08</v>
      </c>
      <c r="C80" s="267" t="str">
        <v>DN[mm] ≤ 100</v>
      </c>
      <c r="D80" s="8" t="str">
        <f t="shared" si="0"/>
        <v>[km]</v>
      </c>
      <c r="E80" s="154"/>
      <c r="F80" s="277"/>
      <c r="G80" s="277"/>
      <c r="H80" s="690"/>
      <c r="I80" s="690"/>
      <c r="J80" s="690"/>
      <c r="K80" s="690"/>
    </row>
    <row r="81" spans="1:11" ht="18.899999999999999" customHeight="1">
      <c r="A81" s="690"/>
      <c r="B81" s="643" t="str">
        <v>09</v>
      </c>
      <c r="C81" s="262" t="str">
        <v>z tworzyw sztucznych (np. polietylenu)</v>
      </c>
      <c r="D81" s="9" t="str">
        <f t="shared" si="0"/>
        <v>[km]</v>
      </c>
      <c r="E81" s="155">
        <f>SUM(E82:E85)</f>
        <v>0</v>
      </c>
      <c r="F81" s="277"/>
      <c r="G81" s="277"/>
      <c r="H81" s="690"/>
      <c r="I81" s="690"/>
      <c r="J81" s="690"/>
      <c r="K81" s="690"/>
    </row>
    <row r="82" spans="1:11" ht="18.899999999999999" customHeight="1">
      <c r="A82" s="690"/>
      <c r="B82" s="640" t="str">
        <v>10</v>
      </c>
      <c r="C82" s="263" t="str">
        <v>300 &lt; DN[mm]</v>
      </c>
      <c r="D82" s="6" t="str">
        <f t="shared" si="0"/>
        <v>[km]</v>
      </c>
      <c r="E82" s="152"/>
      <c r="F82" s="277"/>
      <c r="G82" s="277"/>
      <c r="H82" s="690"/>
      <c r="I82" s="690"/>
      <c r="J82" s="690"/>
      <c r="K82" s="690"/>
    </row>
    <row r="83" spans="1:11" ht="18.899999999999999" customHeight="1">
      <c r="A83" s="690"/>
      <c r="B83" s="641" t="str">
        <v>11</v>
      </c>
      <c r="C83" s="264" t="str">
        <v>200 &lt; DN[mm] ≤ 300</v>
      </c>
      <c r="D83" s="7" t="str">
        <f t="shared" si="0"/>
        <v>[km]</v>
      </c>
      <c r="E83" s="153"/>
      <c r="F83" s="277"/>
      <c r="G83" s="277"/>
      <c r="H83" s="690"/>
      <c r="I83" s="690"/>
      <c r="J83" s="690"/>
      <c r="K83" s="690"/>
    </row>
    <row r="84" spans="1:11" ht="18.899999999999999" customHeight="1">
      <c r="A84" s="690"/>
      <c r="B84" s="641" t="str">
        <v>12</v>
      </c>
      <c r="C84" s="264" t="str">
        <v>100 &lt; DN[mm] ≤ 200</v>
      </c>
      <c r="D84" s="7" t="str">
        <f t="shared" si="0"/>
        <v>[km]</v>
      </c>
      <c r="E84" s="153"/>
      <c r="F84" s="277"/>
      <c r="G84" s="277"/>
      <c r="H84" s="690"/>
      <c r="I84" s="690"/>
      <c r="J84" s="690"/>
      <c r="K84" s="690"/>
    </row>
    <row r="85" spans="1:11" ht="18.899999999999999" customHeight="1" thickBot="1">
      <c r="A85" s="690"/>
      <c r="B85" s="644" t="str">
        <v>13</v>
      </c>
      <c r="C85" s="268" t="str">
        <v>DN[mm] ≤ 100</v>
      </c>
      <c r="D85" s="10" t="str">
        <f t="shared" si="0"/>
        <v>[km]</v>
      </c>
      <c r="E85" s="156"/>
      <c r="F85" s="277"/>
      <c r="G85" s="277"/>
      <c r="H85" s="690"/>
      <c r="I85" s="690"/>
      <c r="J85" s="690"/>
      <c r="K85" s="690"/>
    </row>
    <row r="86" spans="1:11" ht="18.899999999999999" customHeight="1" thickBot="1">
      <c r="A86" s="690"/>
      <c r="B86" s="638" t="str">
        <v>14</v>
      </c>
      <c r="C86" s="11" t="str">
        <v>A2. Gazociągi średniego i niskiego ciśnienia</v>
      </c>
      <c r="D86" s="4" t="str">
        <f t="shared" si="0"/>
        <v>[km]</v>
      </c>
      <c r="E86" s="150">
        <f>SUM(E87,E92)</f>
        <v>0</v>
      </c>
      <c r="F86" s="277"/>
      <c r="G86" s="277"/>
      <c r="H86" s="690"/>
      <c r="I86" s="690"/>
      <c r="J86" s="690"/>
      <c r="K86" s="690"/>
    </row>
    <row r="87" spans="1:11" ht="18.899999999999999" customHeight="1">
      <c r="A87" s="690"/>
      <c r="B87" s="639" t="str">
        <v>15</v>
      </c>
      <c r="C87" s="261" t="str">
        <v>ze stali</v>
      </c>
      <c r="D87" s="5" t="str">
        <f t="shared" si="0"/>
        <v>[km]</v>
      </c>
      <c r="E87" s="151">
        <f>SUM(E88:E91)</f>
        <v>0</v>
      </c>
      <c r="F87" s="277"/>
      <c r="G87" s="277"/>
      <c r="H87" s="690"/>
      <c r="I87" s="690"/>
      <c r="J87" s="690"/>
      <c r="K87" s="690"/>
    </row>
    <row r="88" spans="1:11" ht="18.899999999999999" customHeight="1">
      <c r="A88" s="690"/>
      <c r="B88" s="640" t="str">
        <v>16</v>
      </c>
      <c r="C88" s="263" t="str">
        <v>200 &lt; DN[mm]</v>
      </c>
      <c r="D88" s="6" t="str">
        <f t="shared" si="0"/>
        <v>[km]</v>
      </c>
      <c r="E88" s="152"/>
      <c r="F88" s="277"/>
      <c r="G88" s="277"/>
      <c r="H88" s="690"/>
      <c r="I88" s="690"/>
      <c r="J88" s="690"/>
      <c r="K88" s="690"/>
    </row>
    <row r="89" spans="1:11" ht="18.899999999999999" customHeight="1">
      <c r="A89" s="690"/>
      <c r="B89" s="641" t="str">
        <v>17</v>
      </c>
      <c r="C89" s="264" t="str">
        <v>100 &lt; DN[mm] ≤ 200</v>
      </c>
      <c r="D89" s="7" t="str">
        <f t="shared" si="0"/>
        <v>[km]</v>
      </c>
      <c r="E89" s="153"/>
      <c r="F89" s="277"/>
      <c r="G89" s="277"/>
      <c r="H89" s="690"/>
      <c r="I89" s="690"/>
      <c r="J89" s="690"/>
      <c r="K89" s="690"/>
    </row>
    <row r="90" spans="1:11" ht="18.899999999999999" customHeight="1">
      <c r="A90" s="690"/>
      <c r="B90" s="641" t="str">
        <v>18</v>
      </c>
      <c r="C90" s="265" t="str">
        <v>63 &lt; DN[mm] ≤ 100</v>
      </c>
      <c r="D90" s="7" t="str">
        <f t="shared" si="0"/>
        <v>[km]</v>
      </c>
      <c r="E90" s="153"/>
      <c r="F90" s="277"/>
      <c r="G90" s="277"/>
      <c r="H90" s="690"/>
      <c r="I90" s="690"/>
      <c r="J90" s="690"/>
      <c r="K90" s="690"/>
    </row>
    <row r="91" spans="1:11" ht="18.899999999999999" customHeight="1">
      <c r="A91" s="690"/>
      <c r="B91" s="642" t="str">
        <v>19</v>
      </c>
      <c r="C91" s="267" t="str">
        <v>DN[mm] ≤ 63</v>
      </c>
      <c r="D91" s="8" t="str">
        <f t="shared" si="0"/>
        <v>[km]</v>
      </c>
      <c r="E91" s="154"/>
      <c r="F91" s="277"/>
      <c r="G91" s="277"/>
      <c r="H91" s="690"/>
      <c r="I91" s="690"/>
      <c r="J91" s="690"/>
      <c r="K91" s="690"/>
    </row>
    <row r="92" spans="1:11" ht="18.899999999999999" customHeight="1">
      <c r="A92" s="690"/>
      <c r="B92" s="643" t="str">
        <v>20</v>
      </c>
      <c r="C92" s="262" t="str">
        <v>z tworzyw sztucznych (np. polietylenu)</v>
      </c>
      <c r="D92" s="9" t="str">
        <f t="shared" si="0"/>
        <v>[km]</v>
      </c>
      <c r="E92" s="155">
        <f>SUM(E93:E96)</f>
        <v>0</v>
      </c>
      <c r="F92" s="277"/>
      <c r="G92" s="277"/>
      <c r="H92" s="690"/>
      <c r="I92" s="690"/>
      <c r="J92" s="690"/>
      <c r="K92" s="690"/>
    </row>
    <row r="93" spans="1:11" ht="18.899999999999999" customHeight="1">
      <c r="A93" s="690"/>
      <c r="B93" s="640" t="str">
        <v>21</v>
      </c>
      <c r="C93" s="263" t="str">
        <v>200 &lt; DN[mm]</v>
      </c>
      <c r="D93" s="6" t="str">
        <f t="shared" si="0"/>
        <v>[km]</v>
      </c>
      <c r="E93" s="152"/>
      <c r="F93" s="277"/>
      <c r="G93" s="277"/>
      <c r="H93" s="690"/>
      <c r="I93" s="690"/>
      <c r="J93" s="690"/>
      <c r="K93" s="690"/>
    </row>
    <row r="94" spans="1:11" ht="18.899999999999999" customHeight="1">
      <c r="A94" s="690"/>
      <c r="B94" s="641" t="str">
        <v>22</v>
      </c>
      <c r="C94" s="264" t="str">
        <v>100 &lt; DN[mm] ≤ 200</v>
      </c>
      <c r="D94" s="7" t="str">
        <f t="shared" si="0"/>
        <v>[km]</v>
      </c>
      <c r="E94" s="153"/>
      <c r="F94" s="277"/>
      <c r="G94" s="277"/>
      <c r="H94" s="690"/>
      <c r="I94" s="690"/>
      <c r="J94" s="690"/>
      <c r="K94" s="690"/>
    </row>
    <row r="95" spans="1:11" ht="18.899999999999999" customHeight="1">
      <c r="A95" s="690"/>
      <c r="B95" s="641" t="str">
        <v>23</v>
      </c>
      <c r="C95" s="265" t="str">
        <v>63 &lt; DN[mm] ≤ 100</v>
      </c>
      <c r="D95" s="7" t="str">
        <f t="shared" si="0"/>
        <v>[km]</v>
      </c>
      <c r="E95" s="153"/>
      <c r="F95" s="277"/>
      <c r="G95" s="277"/>
      <c r="H95" s="690"/>
      <c r="I95" s="690"/>
      <c r="J95" s="690"/>
      <c r="K95" s="690"/>
    </row>
    <row r="96" spans="1:11" ht="18.899999999999999" customHeight="1" thickBot="1">
      <c r="A96" s="690"/>
      <c r="B96" s="644" t="str">
        <v>24</v>
      </c>
      <c r="C96" s="268" t="str">
        <v>DN[mm] ≤ 63</v>
      </c>
      <c r="D96" s="10" t="str">
        <f t="shared" si="0"/>
        <v>[km]</v>
      </c>
      <c r="E96" s="156"/>
      <c r="F96" s="277"/>
      <c r="G96" s="277"/>
      <c r="H96" s="690"/>
      <c r="I96" s="690"/>
      <c r="J96" s="690"/>
      <c r="K96" s="690"/>
    </row>
    <row r="97" spans="1:11" ht="18.899999999999999" customHeight="1" thickBot="1">
      <c r="A97" s="690"/>
      <c r="B97" s="638" t="str">
        <v>25</v>
      </c>
      <c r="C97" s="11" t="str">
        <v>A3. przyłącza</v>
      </c>
      <c r="D97" s="4" t="str">
        <f t="shared" si="0"/>
        <v>[km]</v>
      </c>
      <c r="E97" s="150">
        <f>SUM(E98,E103)</f>
        <v>0</v>
      </c>
      <c r="F97" s="277"/>
      <c r="G97" s="277"/>
      <c r="H97" s="690"/>
      <c r="I97" s="690"/>
      <c r="J97" s="690"/>
      <c r="K97" s="690"/>
    </row>
    <row r="98" spans="1:11" ht="18.899999999999999" customHeight="1">
      <c r="A98" s="690"/>
      <c r="B98" s="639" t="str">
        <v>26</v>
      </c>
      <c r="C98" s="261" t="str">
        <v>ze stali</v>
      </c>
      <c r="D98" s="5" t="str">
        <f t="shared" si="0"/>
        <v>[km]</v>
      </c>
      <c r="E98" s="151">
        <f>SUM(E99:E102)</f>
        <v>0</v>
      </c>
      <c r="F98" s="277"/>
      <c r="G98" s="277"/>
      <c r="H98" s="690"/>
      <c r="I98" s="690"/>
      <c r="J98" s="690"/>
      <c r="K98" s="690"/>
    </row>
    <row r="99" spans="1:11" ht="18.899999999999999" customHeight="1">
      <c r="A99" s="690"/>
      <c r="B99" s="640" t="str">
        <v>27</v>
      </c>
      <c r="C99" s="263" t="str">
        <v>100 &lt; DN[mm]</v>
      </c>
      <c r="D99" s="6" t="str">
        <f t="shared" si="0"/>
        <v>[km]</v>
      </c>
      <c r="E99" s="152"/>
      <c r="F99" s="277"/>
      <c r="G99" s="277"/>
      <c r="H99" s="690"/>
      <c r="I99" s="690"/>
      <c r="J99" s="690"/>
      <c r="K99" s="690"/>
    </row>
    <row r="100" spans="1:11" ht="18.899999999999999" customHeight="1">
      <c r="A100" s="690"/>
      <c r="B100" s="641" t="str">
        <v>28</v>
      </c>
      <c r="C100" s="265" t="str">
        <v>63 &lt; DN[mm] ≤ 100</v>
      </c>
      <c r="D100" s="7" t="str">
        <f t="shared" si="0"/>
        <v>[km]</v>
      </c>
      <c r="E100" s="153"/>
      <c r="F100" s="277"/>
      <c r="G100" s="277"/>
      <c r="H100" s="690"/>
      <c r="I100" s="690"/>
      <c r="J100" s="690"/>
      <c r="K100" s="690"/>
    </row>
    <row r="101" spans="1:11" ht="18.899999999999999" customHeight="1">
      <c r="A101" s="690"/>
      <c r="B101" s="641" t="str">
        <v>29</v>
      </c>
      <c r="C101" s="265" t="str">
        <v>32 &lt; DN[mm] ≤ 63</v>
      </c>
      <c r="D101" s="7" t="str">
        <f t="shared" si="0"/>
        <v>[km]</v>
      </c>
      <c r="E101" s="153"/>
      <c r="F101" s="277"/>
      <c r="G101" s="277"/>
      <c r="H101" s="690"/>
      <c r="I101" s="690"/>
      <c r="J101" s="690"/>
      <c r="K101" s="690"/>
    </row>
    <row r="102" spans="1:11" ht="18.899999999999999" customHeight="1">
      <c r="A102" s="690"/>
      <c r="B102" s="642" t="str">
        <v>30</v>
      </c>
      <c r="C102" s="272" t="str">
        <v>DN[mm] ≤ 32</v>
      </c>
      <c r="D102" s="8" t="str">
        <f t="shared" si="0"/>
        <v>[km]</v>
      </c>
      <c r="E102" s="154"/>
      <c r="F102" s="277"/>
      <c r="G102" s="277"/>
      <c r="H102" s="690"/>
      <c r="I102" s="690"/>
      <c r="J102" s="690"/>
      <c r="K102" s="690"/>
    </row>
    <row r="103" spans="1:11" ht="18.899999999999999" customHeight="1">
      <c r="A103" s="690"/>
      <c r="B103" s="643" t="str">
        <v>31</v>
      </c>
      <c r="C103" s="262" t="str">
        <v>z tworzyw sztucznych (np. polietylenu)</v>
      </c>
      <c r="D103" s="9" t="str">
        <f t="shared" si="0"/>
        <v>[km]</v>
      </c>
      <c r="E103" s="155">
        <f>SUM(E104:E107)</f>
        <v>0</v>
      </c>
      <c r="F103" s="277"/>
      <c r="G103" s="277"/>
      <c r="H103" s="690"/>
      <c r="I103" s="690"/>
      <c r="J103" s="690"/>
      <c r="K103" s="690"/>
    </row>
    <row r="104" spans="1:11" ht="18.899999999999999" customHeight="1">
      <c r="A104" s="690"/>
      <c r="B104" s="640" t="str">
        <v>32</v>
      </c>
      <c r="C104" s="263" t="str">
        <v>100 &lt; DN[mm]</v>
      </c>
      <c r="D104" s="6" t="str">
        <f t="shared" si="0"/>
        <v>[km]</v>
      </c>
      <c r="E104" s="152"/>
      <c r="F104" s="277"/>
      <c r="G104" s="277"/>
      <c r="H104" s="690"/>
      <c r="I104" s="690"/>
      <c r="J104" s="690"/>
      <c r="K104" s="690"/>
    </row>
    <row r="105" spans="1:11" ht="18.899999999999999" customHeight="1">
      <c r="A105" s="690"/>
      <c r="B105" s="641" t="str">
        <v>33</v>
      </c>
      <c r="C105" s="265" t="str">
        <v>63 &lt; DN[mm] ≤ 100</v>
      </c>
      <c r="D105" s="7" t="str">
        <f t="shared" si="0"/>
        <v>[km]</v>
      </c>
      <c r="E105" s="153"/>
      <c r="F105" s="277"/>
      <c r="G105" s="277"/>
      <c r="H105" s="690"/>
      <c r="I105" s="690"/>
      <c r="J105" s="690"/>
      <c r="K105" s="690"/>
    </row>
    <row r="106" spans="1:11" ht="18.899999999999999" customHeight="1">
      <c r="A106" s="690"/>
      <c r="B106" s="641" t="str">
        <v>34</v>
      </c>
      <c r="C106" s="265" t="str">
        <v>32 &lt; DN[mm] ≤ 63</v>
      </c>
      <c r="D106" s="7" t="str">
        <f t="shared" si="0"/>
        <v>[km]</v>
      </c>
      <c r="E106" s="153"/>
      <c r="F106" s="277"/>
      <c r="G106" s="277"/>
      <c r="H106" s="690"/>
      <c r="I106" s="690"/>
      <c r="J106" s="690"/>
      <c r="K106" s="690"/>
    </row>
    <row r="107" spans="1:11" ht="18.899999999999999" customHeight="1" thickBot="1">
      <c r="A107" s="690"/>
      <c r="B107" s="644" t="str">
        <v>35</v>
      </c>
      <c r="C107" s="272" t="str">
        <v>DN[mm] ≤ 32</v>
      </c>
      <c r="D107" s="10" t="str">
        <f t="shared" si="0"/>
        <v>[km]</v>
      </c>
      <c r="E107" s="156"/>
      <c r="F107" s="277"/>
      <c r="G107" s="277"/>
      <c r="H107" s="690"/>
      <c r="I107" s="690"/>
      <c r="J107" s="690"/>
      <c r="K107" s="690"/>
    </row>
    <row r="108" spans="1:11" ht="18.899999999999999" customHeight="1" thickBot="1">
      <c r="A108" s="690"/>
      <c r="B108" s="646" t="str">
        <v>36</v>
      </c>
      <c r="C108" s="1" t="str">
        <v>B. STACJE GAZOWE, TŁOCZNIE I WĘZŁY</v>
      </c>
      <c r="D108" s="2" t="str">
        <f>"[szt.]"</f>
        <v>[szt.]</v>
      </c>
      <c r="E108" s="149">
        <f>SUM(E109,E113,E117,E121:E122)</f>
        <v>0</v>
      </c>
      <c r="F108" s="277"/>
      <c r="G108" s="277"/>
      <c r="H108" s="690"/>
      <c r="I108" s="690"/>
      <c r="J108" s="690"/>
      <c r="K108" s="690"/>
    </row>
    <row r="109" spans="1:11" ht="18.899999999999999" customHeight="1">
      <c r="A109" s="690"/>
      <c r="B109" s="639" t="str">
        <v>37</v>
      </c>
      <c r="C109" s="12" t="str">
        <v>B1. stacje redukcyjno-pomiarowe I°</v>
      </c>
      <c r="D109" s="5" t="str">
        <f t="shared" ref="D109:D129" si="1">$D$108</f>
        <v>[szt.]</v>
      </c>
      <c r="E109" s="151">
        <f>SUM(E110:E112)</f>
        <v>0</v>
      </c>
      <c r="F109" s="277"/>
      <c r="G109" s="277"/>
      <c r="H109" s="690"/>
      <c r="I109" s="690"/>
      <c r="J109" s="690"/>
      <c r="K109" s="690"/>
    </row>
    <row r="110" spans="1:11" ht="18.899999999999999" customHeight="1">
      <c r="A110" s="690"/>
      <c r="B110" s="640" t="str">
        <v>38</v>
      </c>
      <c r="C110" s="263" t="str">
        <v>3000 &lt; Q[m³/h]</v>
      </c>
      <c r="D110" s="6" t="str">
        <f t="shared" si="1"/>
        <v>[szt.]</v>
      </c>
      <c r="E110" s="152"/>
      <c r="F110" s="277"/>
      <c r="G110" s="277"/>
      <c r="H110" s="690"/>
      <c r="I110" s="690"/>
      <c r="J110" s="690"/>
      <c r="K110" s="690"/>
    </row>
    <row r="111" spans="1:11" ht="18.899999999999999" customHeight="1">
      <c r="A111" s="690"/>
      <c r="B111" s="641" t="str">
        <v>39</v>
      </c>
      <c r="C111" s="264" t="str">
        <v>1000 &lt; Q[m³/h] ≤ 3000</v>
      </c>
      <c r="D111" s="7" t="str">
        <f t="shared" si="1"/>
        <v>[szt.]</v>
      </c>
      <c r="E111" s="153"/>
      <c r="F111" s="277"/>
      <c r="G111" s="277"/>
      <c r="H111" s="690"/>
      <c r="I111" s="690"/>
      <c r="J111" s="690"/>
      <c r="K111" s="690"/>
    </row>
    <row r="112" spans="1:11" ht="18.899999999999999" customHeight="1">
      <c r="A112" s="690"/>
      <c r="B112" s="642" t="str">
        <v>40</v>
      </c>
      <c r="C112" s="272" t="str">
        <v>Q[m³/h] ≤ 1000</v>
      </c>
      <c r="D112" s="8" t="str">
        <f t="shared" si="1"/>
        <v>[szt.]</v>
      </c>
      <c r="E112" s="154"/>
      <c r="F112" s="277"/>
      <c r="G112" s="277"/>
      <c r="H112" s="690"/>
      <c r="I112" s="690"/>
      <c r="J112" s="690"/>
      <c r="K112" s="690"/>
    </row>
    <row r="113" spans="1:11" ht="18.899999999999999" customHeight="1">
      <c r="A113" s="690"/>
      <c r="B113" s="643" t="str">
        <v>41</v>
      </c>
      <c r="C113" s="13" t="str">
        <v>B2. stacje redukcyjno-pomiarowe II°</v>
      </c>
      <c r="D113" s="9" t="str">
        <f t="shared" si="1"/>
        <v>[szt.]</v>
      </c>
      <c r="E113" s="155">
        <f>SUM(E114:E116)</f>
        <v>0</v>
      </c>
      <c r="F113" s="277"/>
      <c r="G113" s="277"/>
      <c r="H113" s="690"/>
      <c r="I113" s="690"/>
      <c r="J113" s="690"/>
      <c r="K113" s="690"/>
    </row>
    <row r="114" spans="1:11" ht="18.899999999999999" customHeight="1">
      <c r="A114" s="690"/>
      <c r="B114" s="640" t="str">
        <v>42</v>
      </c>
      <c r="C114" s="263" t="str">
        <v>1000 &lt; Q[m³/h]</v>
      </c>
      <c r="D114" s="6" t="str">
        <f t="shared" si="1"/>
        <v>[szt.]</v>
      </c>
      <c r="E114" s="152"/>
      <c r="F114" s="277"/>
      <c r="G114" s="277"/>
      <c r="H114" s="690"/>
      <c r="I114" s="690"/>
      <c r="J114" s="690"/>
      <c r="K114" s="690"/>
    </row>
    <row r="115" spans="1:11" ht="18.899999999999999" customHeight="1">
      <c r="A115" s="690"/>
      <c r="B115" s="641" t="str">
        <v>43</v>
      </c>
      <c r="C115" s="265" t="str">
        <v>300 &lt; Q[m³/h] ≤ 1000</v>
      </c>
      <c r="D115" s="7" t="str">
        <f t="shared" si="1"/>
        <v>[szt.]</v>
      </c>
      <c r="E115" s="153"/>
      <c r="F115" s="277"/>
      <c r="G115" s="277"/>
      <c r="H115" s="690"/>
      <c r="I115" s="690"/>
      <c r="J115" s="690"/>
      <c r="K115" s="690"/>
    </row>
    <row r="116" spans="1:11" ht="18.899999999999999" customHeight="1">
      <c r="A116" s="690"/>
      <c r="B116" s="642" t="str">
        <v>44</v>
      </c>
      <c r="C116" s="272" t="str">
        <v>Q[m³/h] ≤ 300</v>
      </c>
      <c r="D116" s="8" t="str">
        <f t="shared" si="1"/>
        <v>[szt.]</v>
      </c>
      <c r="E116" s="154"/>
      <c r="F116" s="277"/>
      <c r="G116" s="277"/>
      <c r="H116" s="690"/>
      <c r="I116" s="690"/>
      <c r="J116" s="690"/>
      <c r="K116" s="690"/>
    </row>
    <row r="117" spans="1:11" ht="18.899999999999999" customHeight="1">
      <c r="A117" s="690"/>
      <c r="B117" s="643" t="str">
        <v>45</v>
      </c>
      <c r="C117" s="13" t="str">
        <v>B3. stacje LNG</v>
      </c>
      <c r="D117" s="9" t="str">
        <f t="shared" si="1"/>
        <v>[szt.]</v>
      </c>
      <c r="E117" s="155">
        <f>SUM(E118:E120)</f>
        <v>0</v>
      </c>
      <c r="F117" s="277"/>
      <c r="G117" s="277"/>
      <c r="H117" s="690"/>
      <c r="I117" s="690"/>
      <c r="J117" s="690"/>
      <c r="K117" s="690"/>
    </row>
    <row r="118" spans="1:11" ht="18.899999999999999" customHeight="1">
      <c r="A118" s="690"/>
      <c r="B118" s="640" t="str">
        <v>46</v>
      </c>
      <c r="C118" s="263" t="str">
        <v>1000 &lt; Q[m³/h]</v>
      </c>
      <c r="D118" s="6" t="str">
        <f t="shared" si="1"/>
        <v>[szt.]</v>
      </c>
      <c r="E118" s="152"/>
      <c r="F118" s="277"/>
      <c r="G118" s="277"/>
      <c r="H118" s="690"/>
      <c r="I118" s="690"/>
      <c r="J118" s="690"/>
      <c r="K118" s="690"/>
    </row>
    <row r="119" spans="1:11" ht="18.899999999999999" customHeight="1">
      <c r="A119" s="690"/>
      <c r="B119" s="641" t="str">
        <v>47</v>
      </c>
      <c r="C119" s="265" t="str">
        <v>300 &lt; Q[m³/h] ≤ 1000</v>
      </c>
      <c r="D119" s="7" t="str">
        <f t="shared" si="1"/>
        <v>[szt.]</v>
      </c>
      <c r="E119" s="153"/>
      <c r="F119" s="277"/>
      <c r="G119" s="277"/>
      <c r="H119" s="690"/>
      <c r="I119" s="690"/>
      <c r="J119" s="690"/>
      <c r="K119" s="690"/>
    </row>
    <row r="120" spans="1:11" ht="18.899999999999999" customHeight="1">
      <c r="A120" s="690"/>
      <c r="B120" s="642" t="str">
        <v>48</v>
      </c>
      <c r="C120" s="272" t="str">
        <v>Q[m³/h] ≤ 300</v>
      </c>
      <c r="D120" s="8" t="str">
        <f t="shared" si="1"/>
        <v>[szt.]</v>
      </c>
      <c r="E120" s="154"/>
      <c r="F120" s="277"/>
      <c r="G120" s="277"/>
      <c r="H120" s="690"/>
      <c r="I120" s="690"/>
      <c r="J120" s="690"/>
      <c r="K120" s="690"/>
    </row>
    <row r="121" spans="1:11" ht="18.899999999999999" customHeight="1">
      <c r="A121" s="690"/>
      <c r="B121" s="647" t="str">
        <v>49</v>
      </c>
      <c r="C121" s="14" t="str">
        <v>B4. tłocznie gazu</v>
      </c>
      <c r="D121" s="15" t="str">
        <f t="shared" si="1"/>
        <v>[szt.]</v>
      </c>
      <c r="E121" s="155"/>
      <c r="F121" s="277"/>
      <c r="G121" s="277"/>
      <c r="H121" s="690"/>
      <c r="I121" s="690"/>
      <c r="J121" s="690"/>
      <c r="K121" s="690"/>
    </row>
    <row r="122" spans="1:11" ht="18.899999999999999" customHeight="1" thickBot="1">
      <c r="A122" s="690"/>
      <c r="B122" s="648" t="str">
        <v>50</v>
      </c>
      <c r="C122" s="16" t="str">
        <v>B5. węzły</v>
      </c>
      <c r="D122" s="17" t="str">
        <f t="shared" si="1"/>
        <v>[szt.]</v>
      </c>
      <c r="E122" s="157"/>
      <c r="F122" s="277"/>
      <c r="G122" s="277"/>
      <c r="H122" s="690"/>
      <c r="I122" s="690"/>
      <c r="J122" s="690"/>
      <c r="K122" s="690"/>
    </row>
    <row r="123" spans="1:11" ht="18.899999999999999" customHeight="1" thickBot="1">
      <c r="A123" s="690"/>
      <c r="B123" s="646" t="str">
        <v>51</v>
      </c>
      <c r="C123" s="1" t="str">
        <v>C. GAZOMIERZE I UKŁADY POMIAROWE</v>
      </c>
      <c r="D123" s="2" t="str">
        <f t="shared" si="1"/>
        <v>[szt.]</v>
      </c>
      <c r="E123" s="149">
        <f>SUM(E124,E127:E129)</f>
        <v>0</v>
      </c>
      <c r="F123" s="690"/>
      <c r="G123" s="690"/>
      <c r="H123" s="690"/>
      <c r="I123" s="690"/>
      <c r="J123" s="690"/>
      <c r="K123" s="690"/>
    </row>
    <row r="124" spans="1:11" ht="18.899999999999999" customHeight="1">
      <c r="A124" s="690"/>
      <c r="B124" s="639" t="str">
        <v>52</v>
      </c>
      <c r="C124" s="12" t="str">
        <v>C1. Gazomierze miechowe</v>
      </c>
      <c r="D124" s="5" t="str">
        <f t="shared" si="1"/>
        <v>[szt.]</v>
      </c>
      <c r="E124" s="151">
        <f>SUM(E125:E126)</f>
        <v>0</v>
      </c>
      <c r="F124" s="690"/>
      <c r="G124" s="690"/>
      <c r="H124" s="690"/>
      <c r="I124" s="690"/>
      <c r="J124" s="690"/>
      <c r="K124" s="690"/>
    </row>
    <row r="125" spans="1:11" ht="18.899999999999999" customHeight="1">
      <c r="A125" s="690"/>
      <c r="B125" s="640" t="str">
        <v>53</v>
      </c>
      <c r="C125" s="266" t="str">
        <v>G1.6 ÷ G6 (nowe)</v>
      </c>
      <c r="D125" s="6" t="str">
        <f t="shared" si="1"/>
        <v>[szt.]</v>
      </c>
      <c r="E125" s="152"/>
      <c r="F125" s="690"/>
      <c r="G125" s="690"/>
      <c r="H125" s="690"/>
      <c r="I125" s="690"/>
      <c r="J125" s="690"/>
      <c r="K125" s="690"/>
    </row>
    <row r="126" spans="1:11" ht="18.899999999999999" customHeight="1">
      <c r="A126" s="690"/>
      <c r="B126" s="645" t="str">
        <v>54</v>
      </c>
      <c r="C126" s="269" t="str">
        <v>G10 ÷ G650 (nowe)</v>
      </c>
      <c r="D126" s="270" t="str">
        <f t="shared" si="1"/>
        <v>[szt.]</v>
      </c>
      <c r="E126" s="271"/>
      <c r="F126" s="690"/>
      <c r="G126" s="690"/>
      <c r="H126" s="690"/>
      <c r="I126" s="690"/>
      <c r="J126" s="690"/>
      <c r="K126" s="690"/>
    </row>
    <row r="127" spans="1:11" ht="18.899999999999999" customHeight="1">
      <c r="A127" s="690"/>
      <c r="B127" s="643" t="str">
        <v>55</v>
      </c>
      <c r="C127" s="13" t="str">
        <v>C2. Gazomierze turbinowe</v>
      </c>
      <c r="D127" s="9" t="str">
        <f t="shared" si="1"/>
        <v>[szt.]</v>
      </c>
      <c r="E127" s="155"/>
      <c r="F127" s="690"/>
      <c r="G127" s="690"/>
      <c r="H127" s="690"/>
      <c r="I127" s="690"/>
      <c r="J127" s="690"/>
      <c r="K127" s="690"/>
    </row>
    <row r="128" spans="1:11" ht="18.899999999999999" customHeight="1">
      <c r="A128" s="690"/>
      <c r="B128" s="643" t="str">
        <v>56</v>
      </c>
      <c r="C128" s="13" t="str">
        <v>C3. Gazomierze rotorowe</v>
      </c>
      <c r="D128" s="9" t="str">
        <f t="shared" si="1"/>
        <v>[szt.]</v>
      </c>
      <c r="E128" s="155"/>
      <c r="F128" s="690"/>
      <c r="G128" s="690"/>
      <c r="H128" s="690"/>
      <c r="I128" s="690"/>
      <c r="J128" s="690"/>
      <c r="K128" s="690"/>
    </row>
    <row r="129" spans="1:11" ht="18.899999999999999" customHeight="1" thickBot="1">
      <c r="A129" s="690"/>
      <c r="B129" s="648" t="str">
        <v>57</v>
      </c>
      <c r="C129" s="16" t="str">
        <v xml:space="preserve">C4. Inne </v>
      </c>
      <c r="D129" s="17" t="str">
        <f t="shared" si="1"/>
        <v>[szt.]</v>
      </c>
      <c r="E129" s="157"/>
      <c r="F129" s="690"/>
      <c r="G129" s="690"/>
      <c r="H129" s="690"/>
      <c r="I129" s="690"/>
      <c r="J129" s="690"/>
      <c r="K129" s="690"/>
    </row>
    <row r="130" spans="1:11" ht="18.899999999999999" customHeight="1">
      <c r="A130" s="690"/>
      <c r="B130" s="690"/>
      <c r="C130" s="690"/>
      <c r="D130" s="690"/>
      <c r="E130" s="690"/>
      <c r="F130" s="690"/>
      <c r="G130" s="690"/>
      <c r="H130" s="690"/>
      <c r="I130" s="690"/>
      <c r="J130" s="690"/>
      <c r="K130" s="690"/>
    </row>
    <row r="131" spans="1:11" ht="18.899999999999999" customHeight="1">
      <c r="A131" s="690"/>
      <c r="B131" s="690"/>
      <c r="C131" s="690"/>
      <c r="D131" s="690"/>
      <c r="E131" s="690"/>
      <c r="F131" s="690"/>
      <c r="G131" s="690"/>
      <c r="H131" s="690"/>
      <c r="I131" s="690"/>
      <c r="J131" s="690"/>
      <c r="K131" s="690"/>
    </row>
    <row r="132" spans="1:11" ht="30" customHeight="1" thickBot="1">
      <c r="A132" s="690"/>
      <c r="B132" s="700" t="s">
        <v>238</v>
      </c>
      <c r="C132" s="690"/>
      <c r="D132" s="690"/>
      <c r="E132" s="690"/>
      <c r="F132" s="690"/>
      <c r="G132" s="690"/>
      <c r="H132" s="690"/>
      <c r="I132" s="690"/>
      <c r="J132" s="690"/>
      <c r="K132" s="690"/>
    </row>
    <row r="133" spans="1:11" ht="18.899999999999999" customHeight="1">
      <c r="A133" s="690"/>
      <c r="B133" s="996" t="str">
        <f>'Tab.G1.1-4'!$B$8</f>
        <v>LP</v>
      </c>
      <c r="C133" s="1003" t="str">
        <f>'Tab.G1.1-4'!$C$8</f>
        <v>Wyszczególnienie</v>
      </c>
      <c r="D133" s="999"/>
      <c r="E133" s="632" t="str">
        <f>'Tab.G1.1-4'!$E$8</f>
        <v>Wykonanie</v>
      </c>
      <c r="F133" s="277"/>
      <c r="G133" s="277"/>
      <c r="H133" s="690"/>
      <c r="I133" s="690"/>
      <c r="J133" s="690"/>
      <c r="K133" s="690"/>
    </row>
    <row r="134" spans="1:11" ht="18.899999999999999" customHeight="1">
      <c r="A134" s="690"/>
      <c r="B134" s="997"/>
      <c r="C134" s="1004"/>
      <c r="D134" s="1001"/>
      <c r="E134" s="633">
        <f>Rok_ZPR</f>
        <v>2020</v>
      </c>
      <c r="F134" s="277"/>
      <c r="G134" s="277"/>
      <c r="H134" s="690"/>
      <c r="I134" s="690"/>
      <c r="J134" s="690"/>
      <c r="K134" s="690"/>
    </row>
    <row r="135" spans="1:11" ht="14.1" customHeight="1" thickBot="1">
      <c r="A135" s="690"/>
      <c r="B135" s="649" t="str">
        <f t="array" ref="B135:B191">Tab.G17!$B$10:$B$66</f>
        <v>01</v>
      </c>
      <c r="C135" s="994" t="str">
        <f>Tab.G17!$B$11</f>
        <v>02</v>
      </c>
      <c r="D135" s="995"/>
      <c r="E135" s="650" t="str">
        <f>Tab.G17!$B$12</f>
        <v>03</v>
      </c>
      <c r="F135" s="277"/>
      <c r="G135" s="277"/>
      <c r="H135" s="690"/>
      <c r="I135" s="690"/>
      <c r="J135" s="690"/>
      <c r="K135" s="690"/>
    </row>
    <row r="136" spans="1:11" ht="18.899999999999999" customHeight="1" thickBot="1">
      <c r="A136" s="690"/>
      <c r="B136" s="646" t="str">
        <v>02</v>
      </c>
      <c r="C136" s="711" t="str">
        <f t="array" ref="C136:C191">$C$12:$C$67</f>
        <v>A. GAZOCIĄGI DYSTRYBUCYJNE, Z TEGO:</v>
      </c>
      <c r="D136" s="712" t="str">
        <f>"[tys. zł/km]"</f>
        <v>[tys. zł/km]</v>
      </c>
      <c r="E136" s="713" t="str">
        <f t="array" ref="E136:E191">IFERROR($E$12:$E$67/$E$74:$E$129,"")</f>
        <v/>
      </c>
      <c r="F136" s="277"/>
      <c r="G136" s="277"/>
      <c r="H136" s="690"/>
      <c r="I136" s="690"/>
      <c r="J136" s="690"/>
      <c r="K136" s="690"/>
    </row>
    <row r="137" spans="1:11" ht="18.899999999999999" customHeight="1" thickBot="1">
      <c r="A137" s="690"/>
      <c r="B137" s="638" t="str">
        <v>03</v>
      </c>
      <c r="C137" s="3" t="str">
        <v>A1. Gazociągi wysokiego i podyższonego średniego ciśnienia</v>
      </c>
      <c r="D137" s="4" t="str">
        <f t="shared" ref="D137:D142" si="2">$D$136</f>
        <v>[tys. zł/km]</v>
      </c>
      <c r="E137" s="150" t="str">
        <v/>
      </c>
      <c r="F137" s="277"/>
      <c r="G137" s="277"/>
      <c r="H137" s="690"/>
      <c r="I137" s="690"/>
      <c r="J137" s="690"/>
      <c r="K137" s="690"/>
    </row>
    <row r="138" spans="1:11" ht="18.899999999999999" customHeight="1">
      <c r="A138" s="690"/>
      <c r="B138" s="639" t="str">
        <v>04</v>
      </c>
      <c r="C138" s="261" t="str">
        <v>ze stali</v>
      </c>
      <c r="D138" s="5" t="str">
        <f t="shared" si="2"/>
        <v>[tys. zł/km]</v>
      </c>
      <c r="E138" s="151" t="str">
        <v/>
      </c>
      <c r="F138" s="277"/>
      <c r="G138" s="277"/>
      <c r="H138" s="690"/>
      <c r="I138" s="690"/>
      <c r="J138" s="690"/>
      <c r="K138" s="690"/>
    </row>
    <row r="139" spans="1:11" ht="18.899999999999999" customHeight="1">
      <c r="A139" s="690"/>
      <c r="B139" s="640" t="str">
        <v>05</v>
      </c>
      <c r="C139" s="263" t="str">
        <v>300 &lt; DN[mm]</v>
      </c>
      <c r="D139" s="6" t="str">
        <f t="shared" si="2"/>
        <v>[tys. zł/km]</v>
      </c>
      <c r="E139" s="152" t="str">
        <v/>
      </c>
      <c r="F139" s="277"/>
      <c r="G139" s="277"/>
      <c r="H139" s="690"/>
      <c r="I139" s="690"/>
      <c r="J139" s="690"/>
      <c r="K139" s="690"/>
    </row>
    <row r="140" spans="1:11" ht="18.899999999999999" customHeight="1">
      <c r="A140" s="690"/>
      <c r="B140" s="641" t="str">
        <v>06</v>
      </c>
      <c r="C140" s="264" t="str">
        <v>200 &lt; DN[mm] ≤ 300</v>
      </c>
      <c r="D140" s="7" t="str">
        <f t="shared" si="2"/>
        <v>[tys. zł/km]</v>
      </c>
      <c r="E140" s="153" t="str">
        <v/>
      </c>
      <c r="F140" s="277"/>
      <c r="G140" s="277"/>
      <c r="H140" s="690"/>
      <c r="I140" s="690"/>
      <c r="J140" s="690"/>
      <c r="K140" s="690"/>
    </row>
    <row r="141" spans="1:11" ht="18.899999999999999" customHeight="1">
      <c r="A141" s="690"/>
      <c r="B141" s="641" t="str">
        <v>07</v>
      </c>
      <c r="C141" s="264" t="str">
        <v>100 &lt; DN[mm] ≤ 200</v>
      </c>
      <c r="D141" s="7" t="str">
        <f t="shared" si="2"/>
        <v>[tys. zł/km]</v>
      </c>
      <c r="E141" s="153" t="str">
        <v/>
      </c>
      <c r="F141" s="277"/>
      <c r="G141" s="277"/>
      <c r="H141" s="690"/>
      <c r="I141" s="690"/>
      <c r="J141" s="690"/>
      <c r="K141" s="690"/>
    </row>
    <row r="142" spans="1:11" ht="18.899999999999999" customHeight="1">
      <c r="A142" s="690"/>
      <c r="B142" s="642" t="str">
        <v>08</v>
      </c>
      <c r="C142" s="267" t="str">
        <v>DN[mm] ≤ 100</v>
      </c>
      <c r="D142" s="8" t="str">
        <f t="shared" si="2"/>
        <v>[tys. zł/km]</v>
      </c>
      <c r="E142" s="154" t="str">
        <v/>
      </c>
      <c r="F142" s="277"/>
      <c r="G142" s="277"/>
      <c r="H142" s="690"/>
      <c r="I142" s="690"/>
      <c r="J142" s="690"/>
      <c r="K142" s="690"/>
    </row>
    <row r="143" spans="1:11" ht="18.899999999999999" customHeight="1">
      <c r="A143" s="690"/>
      <c r="B143" s="643" t="str">
        <v>09</v>
      </c>
      <c r="C143" s="262" t="str">
        <v>z tworzyw sztucznych (np. polietylenu)</v>
      </c>
      <c r="D143" s="9" t="s">
        <v>94</v>
      </c>
      <c r="E143" s="155" t="str">
        <v/>
      </c>
      <c r="F143" s="277"/>
      <c r="G143" s="277"/>
      <c r="H143" s="690"/>
      <c r="I143" s="690"/>
      <c r="J143" s="690"/>
      <c r="K143" s="690"/>
    </row>
    <row r="144" spans="1:11" ht="18.899999999999999" customHeight="1">
      <c r="A144" s="690"/>
      <c r="B144" s="640" t="str">
        <v>10</v>
      </c>
      <c r="C144" s="263" t="str">
        <v>300 &lt; DN[mm]</v>
      </c>
      <c r="D144" s="6" t="str">
        <f t="shared" ref="D144:D149" si="3">$D$136</f>
        <v>[tys. zł/km]</v>
      </c>
      <c r="E144" s="152" t="str">
        <v/>
      </c>
      <c r="F144" s="277"/>
      <c r="G144" s="277"/>
      <c r="H144" s="690"/>
      <c r="I144" s="690"/>
      <c r="J144" s="690"/>
      <c r="K144" s="690"/>
    </row>
    <row r="145" spans="1:11" ht="18.899999999999999" customHeight="1">
      <c r="A145" s="690"/>
      <c r="B145" s="641" t="str">
        <v>11</v>
      </c>
      <c r="C145" s="264" t="str">
        <v>200 &lt; DN[mm] ≤ 300</v>
      </c>
      <c r="D145" s="7" t="str">
        <f t="shared" si="3"/>
        <v>[tys. zł/km]</v>
      </c>
      <c r="E145" s="153" t="str">
        <v/>
      </c>
      <c r="F145" s="277"/>
      <c r="G145" s="277"/>
      <c r="H145" s="690"/>
      <c r="I145" s="690"/>
      <c r="J145" s="690"/>
      <c r="K145" s="690"/>
    </row>
    <row r="146" spans="1:11" ht="18.899999999999999" customHeight="1">
      <c r="A146" s="690"/>
      <c r="B146" s="641" t="str">
        <v>12</v>
      </c>
      <c r="C146" s="264" t="str">
        <v>100 &lt; DN[mm] ≤ 200</v>
      </c>
      <c r="D146" s="7" t="str">
        <f t="shared" si="3"/>
        <v>[tys. zł/km]</v>
      </c>
      <c r="E146" s="153" t="str">
        <v/>
      </c>
      <c r="F146" s="277"/>
      <c r="G146" s="277"/>
      <c r="H146" s="690"/>
      <c r="I146" s="690"/>
      <c r="J146" s="690"/>
      <c r="K146" s="690"/>
    </row>
    <row r="147" spans="1:11" ht="18.899999999999999" customHeight="1" thickBot="1">
      <c r="A147" s="690"/>
      <c r="B147" s="644" t="str">
        <v>13</v>
      </c>
      <c r="C147" s="268" t="str">
        <v>DN[mm] ≤ 100</v>
      </c>
      <c r="D147" s="10" t="str">
        <f t="shared" si="3"/>
        <v>[tys. zł/km]</v>
      </c>
      <c r="E147" s="156" t="str">
        <v/>
      </c>
      <c r="F147" s="277"/>
      <c r="G147" s="277"/>
      <c r="H147" s="690"/>
      <c r="I147" s="690"/>
      <c r="J147" s="690"/>
      <c r="K147" s="690"/>
    </row>
    <row r="148" spans="1:11" ht="18.899999999999999" customHeight="1" thickBot="1">
      <c r="A148" s="690"/>
      <c r="B148" s="638" t="str">
        <v>14</v>
      </c>
      <c r="C148" s="11" t="str">
        <v>A2. Gazociągi średniego i niskiego ciśnienia</v>
      </c>
      <c r="D148" s="4" t="str">
        <f t="shared" si="3"/>
        <v>[tys. zł/km]</v>
      </c>
      <c r="E148" s="150" t="str">
        <v/>
      </c>
      <c r="F148" s="277"/>
      <c r="G148" s="277"/>
      <c r="H148" s="690"/>
      <c r="I148" s="690"/>
      <c r="J148" s="690"/>
      <c r="K148" s="690"/>
    </row>
    <row r="149" spans="1:11" ht="18.899999999999999" customHeight="1">
      <c r="A149" s="690"/>
      <c r="B149" s="639" t="str">
        <v>15</v>
      </c>
      <c r="C149" s="261" t="str">
        <v>ze stali</v>
      </c>
      <c r="D149" s="5" t="str">
        <f t="shared" si="3"/>
        <v>[tys. zł/km]</v>
      </c>
      <c r="E149" s="151" t="str">
        <v/>
      </c>
      <c r="F149" s="277"/>
      <c r="G149" s="277"/>
      <c r="H149" s="690"/>
      <c r="I149" s="690"/>
      <c r="J149" s="690"/>
      <c r="K149" s="690"/>
    </row>
    <row r="150" spans="1:11" ht="18.899999999999999" customHeight="1">
      <c r="A150" s="690"/>
      <c r="B150" s="640" t="str">
        <v>16</v>
      </c>
      <c r="C150" s="263" t="str">
        <v>200 &lt; DN[mm]</v>
      </c>
      <c r="D150" s="6" t="s">
        <v>94</v>
      </c>
      <c r="E150" s="152" t="str">
        <v/>
      </c>
      <c r="F150" s="277"/>
      <c r="G150" s="277"/>
      <c r="H150" s="690"/>
      <c r="I150" s="690"/>
      <c r="J150" s="690"/>
      <c r="K150" s="690"/>
    </row>
    <row r="151" spans="1:11" ht="18.899999999999999" customHeight="1">
      <c r="A151" s="690"/>
      <c r="B151" s="641" t="str">
        <v>17</v>
      </c>
      <c r="C151" s="264" t="str">
        <v>100 &lt; DN[mm] ≤ 200</v>
      </c>
      <c r="D151" s="7" t="str">
        <f t="shared" ref="D151:D156" si="4">$D$136</f>
        <v>[tys. zł/km]</v>
      </c>
      <c r="E151" s="153" t="str">
        <v/>
      </c>
      <c r="F151" s="277"/>
      <c r="G151" s="277"/>
      <c r="H151" s="690"/>
      <c r="I151" s="690"/>
      <c r="J151" s="690"/>
      <c r="K151" s="690"/>
    </row>
    <row r="152" spans="1:11" ht="18.899999999999999" customHeight="1">
      <c r="A152" s="690"/>
      <c r="B152" s="641" t="str">
        <v>18</v>
      </c>
      <c r="C152" s="265" t="str">
        <v>63 &lt; DN[mm] ≤ 100</v>
      </c>
      <c r="D152" s="7" t="str">
        <f t="shared" si="4"/>
        <v>[tys. zł/km]</v>
      </c>
      <c r="E152" s="153" t="str">
        <v/>
      </c>
      <c r="F152" s="277"/>
      <c r="G152" s="277"/>
      <c r="H152" s="690"/>
      <c r="I152" s="690"/>
      <c r="J152" s="690"/>
      <c r="K152" s="690"/>
    </row>
    <row r="153" spans="1:11" ht="18.899999999999999" customHeight="1">
      <c r="A153" s="690"/>
      <c r="B153" s="642" t="str">
        <v>19</v>
      </c>
      <c r="C153" s="267" t="str">
        <v>DN[mm] ≤ 63</v>
      </c>
      <c r="D153" s="8" t="str">
        <f t="shared" si="4"/>
        <v>[tys. zł/km]</v>
      </c>
      <c r="E153" s="154" t="str">
        <v/>
      </c>
      <c r="F153" s="277"/>
      <c r="G153" s="277"/>
      <c r="H153" s="690"/>
      <c r="I153" s="690"/>
      <c r="J153" s="690"/>
      <c r="K153" s="690"/>
    </row>
    <row r="154" spans="1:11" ht="18.899999999999999" customHeight="1">
      <c r="A154" s="690"/>
      <c r="B154" s="643" t="str">
        <v>20</v>
      </c>
      <c r="C154" s="262" t="str">
        <v>z tworzyw sztucznych (np. polietylenu)</v>
      </c>
      <c r="D154" s="9" t="str">
        <f t="shared" si="4"/>
        <v>[tys. zł/km]</v>
      </c>
      <c r="E154" s="155" t="str">
        <v/>
      </c>
      <c r="F154" s="277"/>
      <c r="G154" s="277"/>
      <c r="H154" s="690"/>
      <c r="I154" s="690"/>
      <c r="J154" s="690"/>
      <c r="K154" s="690"/>
    </row>
    <row r="155" spans="1:11" ht="18.899999999999999" customHeight="1">
      <c r="A155" s="690"/>
      <c r="B155" s="640" t="str">
        <v>21</v>
      </c>
      <c r="C155" s="263" t="str">
        <v>200 &lt; DN[mm]</v>
      </c>
      <c r="D155" s="6" t="str">
        <f t="shared" si="4"/>
        <v>[tys. zł/km]</v>
      </c>
      <c r="E155" s="152" t="str">
        <v/>
      </c>
      <c r="F155" s="277"/>
      <c r="G155" s="277"/>
      <c r="H155" s="690"/>
      <c r="I155" s="690"/>
      <c r="J155" s="690"/>
      <c r="K155" s="690"/>
    </row>
    <row r="156" spans="1:11" ht="18.899999999999999" customHeight="1">
      <c r="A156" s="690"/>
      <c r="B156" s="641" t="str">
        <v>22</v>
      </c>
      <c r="C156" s="264" t="str">
        <v>100 &lt; DN[mm] ≤ 200</v>
      </c>
      <c r="D156" s="7" t="str">
        <f t="shared" si="4"/>
        <v>[tys. zł/km]</v>
      </c>
      <c r="E156" s="153" t="str">
        <v/>
      </c>
      <c r="F156" s="277"/>
      <c r="G156" s="277"/>
      <c r="H156" s="690"/>
      <c r="I156" s="690"/>
      <c r="J156" s="690"/>
      <c r="K156" s="690"/>
    </row>
    <row r="157" spans="1:11" ht="18.899999999999999" customHeight="1">
      <c r="A157" s="690"/>
      <c r="B157" s="641" t="str">
        <v>23</v>
      </c>
      <c r="C157" s="265" t="str">
        <v>63 &lt; DN[mm] ≤ 100</v>
      </c>
      <c r="D157" s="7" t="s">
        <v>94</v>
      </c>
      <c r="E157" s="153" t="str">
        <v/>
      </c>
      <c r="F157" s="277"/>
      <c r="G157" s="277"/>
      <c r="H157" s="690"/>
      <c r="I157" s="690"/>
      <c r="J157" s="690"/>
      <c r="K157" s="690"/>
    </row>
    <row r="158" spans="1:11" ht="18.899999999999999" customHeight="1" thickBot="1">
      <c r="A158" s="690"/>
      <c r="B158" s="644" t="str">
        <v>24</v>
      </c>
      <c r="C158" s="268" t="str">
        <v>DN[mm] ≤ 63</v>
      </c>
      <c r="D158" s="10" t="str">
        <f t="shared" ref="D158:D163" si="5">$D$136</f>
        <v>[tys. zł/km]</v>
      </c>
      <c r="E158" s="156" t="str">
        <v/>
      </c>
      <c r="F158" s="277"/>
      <c r="G158" s="277"/>
      <c r="H158" s="690"/>
      <c r="I158" s="690"/>
      <c r="J158" s="690"/>
      <c r="K158" s="690"/>
    </row>
    <row r="159" spans="1:11" ht="18.899999999999999" customHeight="1" thickBot="1">
      <c r="A159" s="690"/>
      <c r="B159" s="638" t="str">
        <v>25</v>
      </c>
      <c r="C159" s="11" t="str">
        <v>A3. przyłącza</v>
      </c>
      <c r="D159" s="4" t="str">
        <f t="shared" si="5"/>
        <v>[tys. zł/km]</v>
      </c>
      <c r="E159" s="150" t="str">
        <v/>
      </c>
      <c r="F159" s="277"/>
      <c r="G159" s="277"/>
      <c r="H159" s="690"/>
      <c r="I159" s="690"/>
      <c r="J159" s="690"/>
      <c r="K159" s="690"/>
    </row>
    <row r="160" spans="1:11" ht="18.899999999999999" customHeight="1">
      <c r="A160" s="690"/>
      <c r="B160" s="639" t="str">
        <v>26</v>
      </c>
      <c r="C160" s="261" t="str">
        <v>ze stali</v>
      </c>
      <c r="D160" s="5" t="str">
        <f t="shared" si="5"/>
        <v>[tys. zł/km]</v>
      </c>
      <c r="E160" s="151" t="str">
        <v/>
      </c>
      <c r="F160" s="277"/>
      <c r="G160" s="277"/>
      <c r="H160" s="690"/>
      <c r="I160" s="690"/>
      <c r="J160" s="690"/>
      <c r="K160" s="690"/>
    </row>
    <row r="161" spans="1:11" ht="18.899999999999999" customHeight="1">
      <c r="A161" s="690"/>
      <c r="B161" s="640" t="str">
        <v>27</v>
      </c>
      <c r="C161" s="263" t="str">
        <v>100 &lt; DN[mm]</v>
      </c>
      <c r="D161" s="6" t="str">
        <f t="shared" si="5"/>
        <v>[tys. zł/km]</v>
      </c>
      <c r="E161" s="152" t="str">
        <v/>
      </c>
      <c r="F161" s="277"/>
      <c r="G161" s="277"/>
      <c r="H161" s="690"/>
      <c r="I161" s="690"/>
      <c r="J161" s="690"/>
      <c r="K161" s="690"/>
    </row>
    <row r="162" spans="1:11" ht="18.899999999999999" customHeight="1">
      <c r="A162" s="690"/>
      <c r="B162" s="641" t="str">
        <v>28</v>
      </c>
      <c r="C162" s="265" t="str">
        <v>63 &lt; DN[mm] ≤ 100</v>
      </c>
      <c r="D162" s="7" t="str">
        <f t="shared" si="5"/>
        <v>[tys. zł/km]</v>
      </c>
      <c r="E162" s="153" t="str">
        <v/>
      </c>
      <c r="F162" s="277"/>
      <c r="G162" s="277"/>
      <c r="H162" s="690"/>
      <c r="I162" s="690"/>
      <c r="J162" s="690"/>
      <c r="K162" s="690"/>
    </row>
    <row r="163" spans="1:11" ht="18.899999999999999" customHeight="1">
      <c r="A163" s="690"/>
      <c r="B163" s="641" t="str">
        <v>29</v>
      </c>
      <c r="C163" s="265" t="str">
        <v>32 &lt; DN[mm] ≤ 63</v>
      </c>
      <c r="D163" s="7" t="str">
        <f t="shared" si="5"/>
        <v>[tys. zł/km]</v>
      </c>
      <c r="E163" s="153" t="str">
        <v/>
      </c>
      <c r="F163" s="277"/>
      <c r="G163" s="277"/>
      <c r="H163" s="690"/>
      <c r="I163" s="690"/>
      <c r="J163" s="690"/>
      <c r="K163" s="690"/>
    </row>
    <row r="164" spans="1:11" ht="18.899999999999999" customHeight="1">
      <c r="A164" s="690"/>
      <c r="B164" s="642" t="str">
        <v>30</v>
      </c>
      <c r="C164" s="272" t="str">
        <v>DN[mm] ≤ 32</v>
      </c>
      <c r="D164" s="8" t="s">
        <v>94</v>
      </c>
      <c r="E164" s="154" t="str">
        <v/>
      </c>
      <c r="F164" s="277"/>
      <c r="G164" s="277"/>
      <c r="H164" s="690"/>
      <c r="I164" s="690"/>
      <c r="J164" s="690"/>
      <c r="K164" s="690"/>
    </row>
    <row r="165" spans="1:11" ht="18.899999999999999" customHeight="1">
      <c r="A165" s="690"/>
      <c r="B165" s="643" t="str">
        <v>31</v>
      </c>
      <c r="C165" s="262" t="str">
        <v>z tworzyw sztucznych (np. polietylenu)</v>
      </c>
      <c r="D165" s="9" t="str">
        <f>$D$136</f>
        <v>[tys. zł/km]</v>
      </c>
      <c r="E165" s="155" t="str">
        <v/>
      </c>
      <c r="F165" s="277"/>
      <c r="G165" s="277"/>
      <c r="H165" s="690"/>
      <c r="I165" s="690"/>
      <c r="J165" s="690"/>
      <c r="K165" s="690"/>
    </row>
    <row r="166" spans="1:11" ht="18.899999999999999" customHeight="1">
      <c r="A166" s="690"/>
      <c r="B166" s="640" t="str">
        <v>32</v>
      </c>
      <c r="C166" s="263" t="str">
        <v>100 &lt; DN[mm]</v>
      </c>
      <c r="D166" s="6" t="str">
        <f>$D$136</f>
        <v>[tys. zł/km]</v>
      </c>
      <c r="E166" s="152" t="str">
        <v/>
      </c>
      <c r="F166" s="277"/>
      <c r="G166" s="277"/>
      <c r="H166" s="690"/>
      <c r="I166" s="690"/>
      <c r="J166" s="690"/>
      <c r="K166" s="690"/>
    </row>
    <row r="167" spans="1:11" ht="18.899999999999999" customHeight="1">
      <c r="A167" s="690"/>
      <c r="B167" s="641" t="str">
        <v>33</v>
      </c>
      <c r="C167" s="265" t="str">
        <v>63 &lt; DN[mm] ≤ 100</v>
      </c>
      <c r="D167" s="7" t="str">
        <f>$D$136</f>
        <v>[tys. zł/km]</v>
      </c>
      <c r="E167" s="153" t="str">
        <v/>
      </c>
      <c r="F167" s="277"/>
      <c r="G167" s="277"/>
      <c r="H167" s="690"/>
      <c r="I167" s="690"/>
      <c r="J167" s="690"/>
      <c r="K167" s="690"/>
    </row>
    <row r="168" spans="1:11" ht="18.899999999999999" customHeight="1">
      <c r="A168" s="690"/>
      <c r="B168" s="641" t="str">
        <v>34</v>
      </c>
      <c r="C168" s="265" t="str">
        <v>32 &lt; DN[mm] ≤ 63</v>
      </c>
      <c r="D168" s="7" t="str">
        <f>$D$136</f>
        <v>[tys. zł/km]</v>
      </c>
      <c r="E168" s="153" t="str">
        <v/>
      </c>
      <c r="F168" s="277"/>
      <c r="G168" s="277"/>
      <c r="H168" s="690"/>
      <c r="I168" s="690"/>
      <c r="J168" s="690"/>
      <c r="K168" s="690"/>
    </row>
    <row r="169" spans="1:11" ht="18.899999999999999" customHeight="1" thickBot="1">
      <c r="A169" s="690"/>
      <c r="B169" s="644" t="str">
        <v>35</v>
      </c>
      <c r="C169" s="272" t="str">
        <v>DN[mm] ≤ 32</v>
      </c>
      <c r="D169" s="10" t="s">
        <v>94</v>
      </c>
      <c r="E169" s="156" t="str">
        <v/>
      </c>
      <c r="F169" s="277"/>
      <c r="G169" s="277"/>
      <c r="H169" s="690"/>
      <c r="I169" s="690"/>
      <c r="J169" s="690"/>
      <c r="K169" s="690"/>
    </row>
    <row r="170" spans="1:11" ht="18.899999999999999" customHeight="1" thickBot="1">
      <c r="A170" s="690"/>
      <c r="B170" s="646" t="str">
        <v>36</v>
      </c>
      <c r="C170" s="1" t="str">
        <v>B. STACJE GAZOWE, TŁOCZNIE I WĘZŁY</v>
      </c>
      <c r="D170" s="2" t="str">
        <f>"[tys. zł/szt.]"</f>
        <v>[tys. zł/szt.]</v>
      </c>
      <c r="E170" s="149" t="str">
        <v/>
      </c>
      <c r="F170" s="277"/>
      <c r="G170" s="277"/>
      <c r="H170" s="690"/>
      <c r="I170" s="690"/>
      <c r="J170" s="690"/>
      <c r="K170" s="690"/>
    </row>
    <row r="171" spans="1:11" ht="18.899999999999999" customHeight="1">
      <c r="A171" s="690"/>
      <c r="B171" s="639" t="str">
        <v>37</v>
      </c>
      <c r="C171" s="12" t="str">
        <v>B1. stacje redukcyjno-pomiarowe I°</v>
      </c>
      <c r="D171" s="5" t="str">
        <f t="shared" ref="D171:D191" si="6">$D$170</f>
        <v>[tys. zł/szt.]</v>
      </c>
      <c r="E171" s="151" t="str">
        <v/>
      </c>
      <c r="F171" s="277"/>
      <c r="G171" s="277"/>
      <c r="H171" s="690"/>
      <c r="I171" s="690"/>
      <c r="J171" s="690"/>
      <c r="K171" s="690"/>
    </row>
    <row r="172" spans="1:11" ht="18.899999999999999" customHeight="1">
      <c r="A172" s="690"/>
      <c r="B172" s="640" t="str">
        <v>38</v>
      </c>
      <c r="C172" s="263" t="str">
        <v>3000 &lt; Q[m³/h]</v>
      </c>
      <c r="D172" s="6" t="str">
        <f t="shared" si="6"/>
        <v>[tys. zł/szt.]</v>
      </c>
      <c r="E172" s="152" t="str">
        <v/>
      </c>
      <c r="F172" s="277"/>
      <c r="G172" s="277"/>
      <c r="H172" s="690"/>
      <c r="I172" s="690"/>
      <c r="J172" s="690"/>
      <c r="K172" s="690"/>
    </row>
    <row r="173" spans="1:11" ht="18.899999999999999" customHeight="1">
      <c r="A173" s="690"/>
      <c r="B173" s="641" t="str">
        <v>39</v>
      </c>
      <c r="C173" s="264" t="str">
        <v>1000 &lt; Q[m³/h] ≤ 3000</v>
      </c>
      <c r="D173" s="7" t="str">
        <f t="shared" si="6"/>
        <v>[tys. zł/szt.]</v>
      </c>
      <c r="E173" s="153" t="str">
        <v/>
      </c>
      <c r="F173" s="277"/>
      <c r="G173" s="277"/>
      <c r="H173" s="690"/>
      <c r="I173" s="690"/>
      <c r="J173" s="690"/>
      <c r="K173" s="690"/>
    </row>
    <row r="174" spans="1:11" ht="18.899999999999999" customHeight="1">
      <c r="A174" s="690"/>
      <c r="B174" s="642" t="str">
        <v>40</v>
      </c>
      <c r="C174" s="272" t="str">
        <v>Q[m³/h] ≤ 1000</v>
      </c>
      <c r="D174" s="8" t="str">
        <f t="shared" si="6"/>
        <v>[tys. zł/szt.]</v>
      </c>
      <c r="E174" s="154" t="str">
        <v/>
      </c>
      <c r="F174" s="277"/>
      <c r="G174" s="277"/>
      <c r="H174" s="690"/>
      <c r="I174" s="690"/>
      <c r="J174" s="690"/>
      <c r="K174" s="690"/>
    </row>
    <row r="175" spans="1:11" ht="18.899999999999999" customHeight="1">
      <c r="A175" s="690"/>
      <c r="B175" s="643" t="str">
        <v>41</v>
      </c>
      <c r="C175" s="13" t="str">
        <v>B2. stacje redukcyjno-pomiarowe II°</v>
      </c>
      <c r="D175" s="9" t="str">
        <f t="shared" si="6"/>
        <v>[tys. zł/szt.]</v>
      </c>
      <c r="E175" s="155" t="str">
        <v/>
      </c>
      <c r="F175" s="277"/>
      <c r="G175" s="277"/>
      <c r="H175" s="690"/>
      <c r="I175" s="690"/>
      <c r="J175" s="690"/>
      <c r="K175" s="690"/>
    </row>
    <row r="176" spans="1:11" ht="18.899999999999999" customHeight="1">
      <c r="A176" s="690"/>
      <c r="B176" s="640" t="str">
        <v>42</v>
      </c>
      <c r="C176" s="263" t="str">
        <v>1000 &lt; Q[m³/h]</v>
      </c>
      <c r="D176" s="6" t="str">
        <f t="shared" si="6"/>
        <v>[tys. zł/szt.]</v>
      </c>
      <c r="E176" s="152" t="str">
        <v/>
      </c>
      <c r="F176" s="277"/>
      <c r="G176" s="277"/>
      <c r="H176" s="690"/>
      <c r="I176" s="690"/>
      <c r="J176" s="690"/>
      <c r="K176" s="690"/>
    </row>
    <row r="177" spans="1:11" ht="18.899999999999999" customHeight="1">
      <c r="A177" s="690"/>
      <c r="B177" s="641" t="str">
        <v>43</v>
      </c>
      <c r="C177" s="265" t="str">
        <v>300 &lt; Q[m³/h] ≤ 1000</v>
      </c>
      <c r="D177" s="7" t="str">
        <f t="shared" si="6"/>
        <v>[tys. zł/szt.]</v>
      </c>
      <c r="E177" s="153" t="str">
        <v/>
      </c>
      <c r="F177" s="277"/>
      <c r="G177" s="277"/>
      <c r="H177" s="690"/>
      <c r="I177" s="690"/>
      <c r="J177" s="690"/>
      <c r="K177" s="690"/>
    </row>
    <row r="178" spans="1:11" ht="18.899999999999999" customHeight="1">
      <c r="A178" s="690"/>
      <c r="B178" s="642" t="str">
        <v>44</v>
      </c>
      <c r="C178" s="272" t="str">
        <v>Q[m³/h] ≤ 300</v>
      </c>
      <c r="D178" s="8" t="str">
        <f t="shared" si="6"/>
        <v>[tys. zł/szt.]</v>
      </c>
      <c r="E178" s="154" t="str">
        <v/>
      </c>
      <c r="F178" s="277"/>
      <c r="G178" s="277"/>
      <c r="H178" s="690"/>
      <c r="I178" s="690"/>
      <c r="J178" s="690"/>
      <c r="K178" s="690"/>
    </row>
    <row r="179" spans="1:11" ht="18.899999999999999" customHeight="1">
      <c r="A179" s="690"/>
      <c r="B179" s="643" t="str">
        <v>45</v>
      </c>
      <c r="C179" s="13" t="str">
        <v>B3. stacje LNG</v>
      </c>
      <c r="D179" s="9" t="str">
        <f t="shared" si="6"/>
        <v>[tys. zł/szt.]</v>
      </c>
      <c r="E179" s="155" t="str">
        <v/>
      </c>
      <c r="F179" s="277"/>
      <c r="G179" s="277"/>
      <c r="H179" s="690"/>
      <c r="I179" s="690"/>
      <c r="J179" s="690"/>
      <c r="K179" s="690"/>
    </row>
    <row r="180" spans="1:11" ht="18.899999999999999" customHeight="1">
      <c r="A180" s="690"/>
      <c r="B180" s="640" t="str">
        <v>46</v>
      </c>
      <c r="C180" s="263" t="str">
        <v>1000 &lt; Q[m³/h]</v>
      </c>
      <c r="D180" s="6" t="str">
        <f t="shared" si="6"/>
        <v>[tys. zł/szt.]</v>
      </c>
      <c r="E180" s="152" t="str">
        <v/>
      </c>
      <c r="F180" s="277"/>
      <c r="G180" s="277"/>
      <c r="H180" s="690"/>
      <c r="I180" s="690"/>
      <c r="J180" s="690"/>
      <c r="K180" s="690"/>
    </row>
    <row r="181" spans="1:11" ht="18.899999999999999" customHeight="1">
      <c r="A181" s="690"/>
      <c r="B181" s="641" t="str">
        <v>47</v>
      </c>
      <c r="C181" s="265" t="str">
        <v>300 &lt; Q[m³/h] ≤ 1000</v>
      </c>
      <c r="D181" s="7" t="str">
        <f t="shared" si="6"/>
        <v>[tys. zł/szt.]</v>
      </c>
      <c r="E181" s="153" t="str">
        <v/>
      </c>
      <c r="F181" s="277"/>
      <c r="G181" s="277"/>
      <c r="H181" s="690"/>
      <c r="I181" s="690"/>
      <c r="J181" s="690"/>
      <c r="K181" s="690"/>
    </row>
    <row r="182" spans="1:11" ht="18.899999999999999" customHeight="1">
      <c r="A182" s="690"/>
      <c r="B182" s="642" t="str">
        <v>48</v>
      </c>
      <c r="C182" s="272" t="str">
        <v>Q[m³/h] ≤ 300</v>
      </c>
      <c r="D182" s="8" t="str">
        <f t="shared" si="6"/>
        <v>[tys. zł/szt.]</v>
      </c>
      <c r="E182" s="154" t="str">
        <v/>
      </c>
      <c r="F182" s="277"/>
      <c r="G182" s="277"/>
      <c r="H182" s="690"/>
      <c r="I182" s="690"/>
      <c r="J182" s="690"/>
      <c r="K182" s="690"/>
    </row>
    <row r="183" spans="1:11" ht="18.899999999999999" customHeight="1">
      <c r="A183" s="690"/>
      <c r="B183" s="647" t="str">
        <v>49</v>
      </c>
      <c r="C183" s="14" t="str">
        <v>B4. tłocznie gazu</v>
      </c>
      <c r="D183" s="15" t="str">
        <f t="shared" si="6"/>
        <v>[tys. zł/szt.]</v>
      </c>
      <c r="E183" s="155" t="str">
        <v/>
      </c>
      <c r="F183" s="277"/>
      <c r="G183" s="277"/>
      <c r="H183" s="690"/>
      <c r="I183" s="690"/>
      <c r="J183" s="690"/>
      <c r="K183" s="690"/>
    </row>
    <row r="184" spans="1:11" ht="18.899999999999999" customHeight="1" thickBot="1">
      <c r="A184" s="690"/>
      <c r="B184" s="648" t="str">
        <v>50</v>
      </c>
      <c r="C184" s="16" t="str">
        <v>B5. węzły</v>
      </c>
      <c r="D184" s="17" t="str">
        <f t="shared" si="6"/>
        <v>[tys. zł/szt.]</v>
      </c>
      <c r="E184" s="157" t="str">
        <v/>
      </c>
      <c r="F184" s="277"/>
      <c r="G184" s="277"/>
      <c r="H184" s="690"/>
      <c r="I184" s="690"/>
      <c r="J184" s="690"/>
      <c r="K184" s="690"/>
    </row>
    <row r="185" spans="1:11" ht="18.899999999999999" customHeight="1" thickBot="1">
      <c r="A185" s="690"/>
      <c r="B185" s="646" t="str">
        <v>51</v>
      </c>
      <c r="C185" s="1" t="str">
        <v>C. GAZOMIERZE I UKŁADY POMIAROWE</v>
      </c>
      <c r="D185" s="2" t="str">
        <f t="shared" si="6"/>
        <v>[tys. zł/szt.]</v>
      </c>
      <c r="E185" s="149" t="str">
        <v/>
      </c>
      <c r="F185" s="690"/>
      <c r="G185" s="690"/>
      <c r="H185" s="690"/>
      <c r="I185" s="690"/>
      <c r="J185" s="690"/>
      <c r="K185" s="690"/>
    </row>
    <row r="186" spans="1:11" ht="18.899999999999999" customHeight="1">
      <c r="A186" s="690"/>
      <c r="B186" s="639" t="str">
        <v>52</v>
      </c>
      <c r="C186" s="12" t="str">
        <v>C1. Gazomierze miechowe</v>
      </c>
      <c r="D186" s="5" t="str">
        <f t="shared" si="6"/>
        <v>[tys. zł/szt.]</v>
      </c>
      <c r="E186" s="151" t="str">
        <v/>
      </c>
      <c r="F186" s="690"/>
      <c r="G186" s="690"/>
      <c r="H186" s="690"/>
      <c r="I186" s="690"/>
      <c r="J186" s="690"/>
      <c r="K186" s="690"/>
    </row>
    <row r="187" spans="1:11" ht="18.899999999999999" customHeight="1">
      <c r="A187" s="690"/>
      <c r="B187" s="640" t="str">
        <v>53</v>
      </c>
      <c r="C187" s="266" t="str">
        <v>G1.6 ÷ G6 (nowe)</v>
      </c>
      <c r="D187" s="6" t="str">
        <f t="shared" si="6"/>
        <v>[tys. zł/szt.]</v>
      </c>
      <c r="E187" s="152" t="str">
        <v/>
      </c>
      <c r="F187" s="690"/>
      <c r="G187" s="690"/>
      <c r="H187" s="690"/>
      <c r="I187" s="690"/>
      <c r="J187" s="690"/>
      <c r="K187" s="690"/>
    </row>
    <row r="188" spans="1:11" ht="18.899999999999999" customHeight="1">
      <c r="A188" s="690"/>
      <c r="B188" s="645" t="str">
        <v>54</v>
      </c>
      <c r="C188" s="269" t="str">
        <v>G10 ÷ G650 (nowe)</v>
      </c>
      <c r="D188" s="270" t="str">
        <f t="shared" si="6"/>
        <v>[tys. zł/szt.]</v>
      </c>
      <c r="E188" s="271" t="str">
        <v/>
      </c>
      <c r="F188" s="690"/>
      <c r="G188" s="690"/>
      <c r="H188" s="690"/>
      <c r="I188" s="690"/>
      <c r="J188" s="690"/>
      <c r="K188" s="690"/>
    </row>
    <row r="189" spans="1:11" ht="18.899999999999999" customHeight="1">
      <c r="A189" s="690"/>
      <c r="B189" s="643" t="str">
        <v>55</v>
      </c>
      <c r="C189" s="13" t="str">
        <v>C2. Gazomierze turbinowe</v>
      </c>
      <c r="D189" s="9" t="str">
        <f t="shared" si="6"/>
        <v>[tys. zł/szt.]</v>
      </c>
      <c r="E189" s="155" t="str">
        <v/>
      </c>
      <c r="F189" s="690"/>
      <c r="G189" s="690"/>
      <c r="H189" s="690"/>
      <c r="I189" s="690"/>
      <c r="J189" s="690"/>
      <c r="K189" s="690"/>
    </row>
    <row r="190" spans="1:11" ht="18.899999999999999" customHeight="1">
      <c r="A190" s="690"/>
      <c r="B190" s="643" t="str">
        <v>56</v>
      </c>
      <c r="C190" s="13" t="str">
        <v>C3. Gazomierze rotorowe</v>
      </c>
      <c r="D190" s="9" t="str">
        <f t="shared" si="6"/>
        <v>[tys. zł/szt.]</v>
      </c>
      <c r="E190" s="155" t="str">
        <v/>
      </c>
      <c r="F190" s="690"/>
      <c r="G190" s="690"/>
      <c r="H190" s="690"/>
      <c r="I190" s="690"/>
      <c r="J190" s="690"/>
      <c r="K190" s="690"/>
    </row>
    <row r="191" spans="1:11" ht="18.899999999999999" customHeight="1" thickBot="1">
      <c r="A191" s="690"/>
      <c r="B191" s="648" t="str">
        <v>57</v>
      </c>
      <c r="C191" s="16" t="str">
        <v xml:space="preserve">C4. Inne </v>
      </c>
      <c r="D191" s="17" t="str">
        <f t="shared" si="6"/>
        <v>[tys. zł/szt.]</v>
      </c>
      <c r="E191" s="157" t="str">
        <v/>
      </c>
      <c r="F191" s="690"/>
      <c r="G191" s="690"/>
      <c r="H191" s="690"/>
      <c r="I191" s="690"/>
      <c r="J191" s="690"/>
      <c r="K191" s="690"/>
    </row>
    <row r="192" spans="1:11" ht="18.899999999999999" customHeight="1">
      <c r="A192" s="690"/>
      <c r="B192" s="690"/>
      <c r="C192" s="690"/>
      <c r="D192" s="690"/>
      <c r="E192" s="690"/>
      <c r="F192" s="690"/>
      <c r="G192" s="690"/>
      <c r="H192" s="690"/>
      <c r="I192" s="690"/>
      <c r="J192" s="690"/>
      <c r="K192" s="690"/>
    </row>
    <row r="193" spans="1:11" ht="18.899999999999999" customHeight="1">
      <c r="A193" s="690"/>
      <c r="B193" s="690"/>
      <c r="C193" s="690"/>
      <c r="D193" s="690"/>
      <c r="E193" s="690"/>
      <c r="F193" s="690"/>
      <c r="G193" s="690"/>
      <c r="H193" s="690"/>
      <c r="I193" s="690"/>
      <c r="J193" s="690"/>
      <c r="K193" s="690"/>
    </row>
    <row r="194" spans="1:11" ht="30" customHeight="1" thickBot="1">
      <c r="A194" s="690"/>
      <c r="B194" s="700" t="str">
        <f>"Tabela G2.4E. Poniesione nakłady na budowę nowych stacji CNG i LCNG (infrastruktura wewnętrzna stacji)"</f>
        <v>Tabela G2.4E. Poniesione nakłady na budowę nowych stacji CNG i LCNG (infrastruktura wewnętrzna stacji)</v>
      </c>
      <c r="C194" s="690"/>
      <c r="D194" s="690"/>
      <c r="E194" s="690"/>
      <c r="F194" s="690"/>
      <c r="G194" s="690"/>
      <c r="H194" s="690"/>
      <c r="I194" s="690"/>
      <c r="J194" s="690"/>
      <c r="K194" s="690"/>
    </row>
    <row r="195" spans="1:11" ht="15">
      <c r="A195" s="690"/>
      <c r="B195" s="996" t="str">
        <f>'Tab.G1.1-4'!$B$8</f>
        <v>LP</v>
      </c>
      <c r="C195" s="1003" t="str">
        <f>'Tab.G1.1-4'!$C$8</f>
        <v>Wyszczególnienie</v>
      </c>
      <c r="D195" s="999"/>
      <c r="E195" s="632" t="str">
        <f>'Tab.G1.1-4'!$E$8</f>
        <v>Wykonanie</v>
      </c>
      <c r="F195" s="690"/>
      <c r="G195" s="690"/>
      <c r="H195" s="690"/>
      <c r="I195" s="690"/>
      <c r="J195" s="690"/>
      <c r="K195" s="690"/>
    </row>
    <row r="196" spans="1:11" ht="15">
      <c r="A196" s="690"/>
      <c r="B196" s="997"/>
      <c r="C196" s="1004"/>
      <c r="D196" s="1001"/>
      <c r="E196" s="633">
        <f>Rok_ZPR</f>
        <v>2020</v>
      </c>
      <c r="F196" s="690"/>
      <c r="G196" s="690"/>
      <c r="H196" s="690"/>
      <c r="I196" s="690"/>
      <c r="J196" s="690"/>
      <c r="K196" s="690"/>
    </row>
    <row r="197" spans="1:11" ht="13.8" thickBot="1">
      <c r="A197" s="690"/>
      <c r="B197" s="649" t="str">
        <f t="array" ref="B197:B206">$B$11:$B$20</f>
        <v>01</v>
      </c>
      <c r="C197" s="994" t="str">
        <f>$B$12</f>
        <v>02</v>
      </c>
      <c r="D197" s="995"/>
      <c r="E197" s="650" t="str">
        <f>$B$13</f>
        <v>03</v>
      </c>
      <c r="F197" s="690"/>
      <c r="G197" s="690"/>
      <c r="H197" s="690"/>
      <c r="I197" s="690"/>
      <c r="J197" s="690"/>
      <c r="K197" s="690"/>
    </row>
    <row r="198" spans="1:11" ht="15.6" thickBot="1">
      <c r="A198" s="690"/>
      <c r="B198" s="646" t="str">
        <v>02</v>
      </c>
      <c r="C198" s="711" t="str">
        <f>"OGÓŁEM STACJE CNG I LCNG"</f>
        <v>OGÓŁEM STACJE CNG I LCNG</v>
      </c>
      <c r="D198" s="712" t="str">
        <f t="shared" ref="D198:D206" si="7">$D$12</f>
        <v>[tys. zł]</v>
      </c>
      <c r="E198" s="713">
        <f>SUM(E199,E203)</f>
        <v>0</v>
      </c>
      <c r="F198" s="690"/>
      <c r="G198" s="690"/>
      <c r="H198" s="690"/>
      <c r="I198" s="690"/>
      <c r="J198" s="690"/>
      <c r="K198" s="690"/>
    </row>
    <row r="199" spans="1:11" ht="15">
      <c r="A199" s="690"/>
      <c r="B199" s="639" t="str">
        <v>03</v>
      </c>
      <c r="C199" s="12" t="str">
        <f>"STACJE CNG"</f>
        <v>STACJE CNG</v>
      </c>
      <c r="D199" s="5" t="str">
        <f t="shared" si="7"/>
        <v>[tys. zł]</v>
      </c>
      <c r="E199" s="151">
        <f>SUM(E200:E202)</f>
        <v>0</v>
      </c>
      <c r="F199" s="690"/>
      <c r="G199" s="690"/>
      <c r="H199" s="690"/>
      <c r="I199" s="690"/>
      <c r="J199" s="690"/>
      <c r="K199" s="690"/>
    </row>
    <row r="200" spans="1:11" ht="15">
      <c r="A200" s="690"/>
      <c r="B200" s="640" t="str">
        <v>04</v>
      </c>
      <c r="C200" s="263" t="s">
        <v>285</v>
      </c>
      <c r="D200" s="6" t="str">
        <f t="shared" si="7"/>
        <v>[tys. zł]</v>
      </c>
      <c r="E200" s="152"/>
      <c r="F200" s="690"/>
      <c r="G200" s="690"/>
      <c r="H200" s="690"/>
      <c r="I200" s="690"/>
      <c r="J200" s="690"/>
      <c r="K200" s="690"/>
    </row>
    <row r="201" spans="1:11" ht="15">
      <c r="A201" s="690"/>
      <c r="B201" s="641" t="str">
        <v>05</v>
      </c>
      <c r="C201" s="264" t="s">
        <v>286</v>
      </c>
      <c r="D201" s="7" t="str">
        <f t="shared" si="7"/>
        <v>[tys. zł]</v>
      </c>
      <c r="E201" s="153"/>
      <c r="F201" s="690"/>
      <c r="G201" s="690"/>
      <c r="H201" s="690"/>
      <c r="I201" s="690"/>
      <c r="J201" s="690"/>
      <c r="K201" s="690"/>
    </row>
    <row r="202" spans="1:11" ht="15">
      <c r="A202" s="690"/>
      <c r="B202" s="642" t="str">
        <v>06</v>
      </c>
      <c r="C202" s="272" t="s">
        <v>287</v>
      </c>
      <c r="D202" s="8" t="str">
        <f t="shared" si="7"/>
        <v>[tys. zł]</v>
      </c>
      <c r="E202" s="154"/>
      <c r="F202" s="690"/>
      <c r="G202" s="690"/>
      <c r="H202" s="690"/>
      <c r="I202" s="690"/>
      <c r="J202" s="690"/>
      <c r="K202" s="690"/>
    </row>
    <row r="203" spans="1:11" ht="15">
      <c r="A203" s="690"/>
      <c r="B203" s="639" t="str">
        <v>07</v>
      </c>
      <c r="C203" s="12" t="str">
        <f>"STACJE LCNG"</f>
        <v>STACJE LCNG</v>
      </c>
      <c r="D203" s="5" t="str">
        <f t="shared" si="7"/>
        <v>[tys. zł]</v>
      </c>
      <c r="E203" s="151">
        <f>SUM(E204:E206)</f>
        <v>0</v>
      </c>
      <c r="F203" s="690"/>
      <c r="G203" s="690"/>
      <c r="H203" s="690"/>
      <c r="I203" s="690"/>
      <c r="J203" s="690"/>
      <c r="K203" s="690"/>
    </row>
    <row r="204" spans="1:11" ht="15">
      <c r="A204" s="690"/>
      <c r="B204" s="640" t="str">
        <v>08</v>
      </c>
      <c r="C204" s="263" t="s">
        <v>285</v>
      </c>
      <c r="D204" s="6" t="str">
        <f t="shared" si="7"/>
        <v>[tys. zł]</v>
      </c>
      <c r="E204" s="152"/>
      <c r="F204" s="690"/>
      <c r="G204" s="690"/>
      <c r="H204" s="690"/>
      <c r="I204" s="690"/>
      <c r="J204" s="690"/>
      <c r="K204" s="690"/>
    </row>
    <row r="205" spans="1:11" ht="15">
      <c r="A205" s="690"/>
      <c r="B205" s="641" t="str">
        <v>09</v>
      </c>
      <c r="C205" s="264" t="s">
        <v>286</v>
      </c>
      <c r="D205" s="7" t="str">
        <f t="shared" si="7"/>
        <v>[tys. zł]</v>
      </c>
      <c r="E205" s="153"/>
      <c r="F205" s="690"/>
      <c r="G205" s="690"/>
      <c r="H205" s="690"/>
      <c r="I205" s="690"/>
      <c r="J205" s="690"/>
      <c r="K205" s="690"/>
    </row>
    <row r="206" spans="1:11" ht="15.6" thickBot="1">
      <c r="A206" s="690"/>
      <c r="B206" s="644" t="str">
        <v>10</v>
      </c>
      <c r="C206" s="844" t="s">
        <v>287</v>
      </c>
      <c r="D206" s="10" t="str">
        <f t="shared" si="7"/>
        <v>[tys. zł]</v>
      </c>
      <c r="E206" s="156"/>
      <c r="F206" s="690"/>
      <c r="G206" s="690"/>
      <c r="H206" s="690"/>
      <c r="I206" s="690"/>
      <c r="J206" s="690"/>
      <c r="K206" s="690"/>
    </row>
    <row r="207" spans="1:11">
      <c r="A207" s="690"/>
      <c r="B207" s="690"/>
      <c r="C207" s="690"/>
      <c r="D207" s="690"/>
      <c r="E207" s="690"/>
      <c r="F207" s="690"/>
      <c r="G207" s="690"/>
      <c r="H207" s="690"/>
      <c r="I207" s="690"/>
      <c r="J207" s="690"/>
      <c r="K207" s="690"/>
    </row>
    <row r="208" spans="1:11">
      <c r="A208" s="690"/>
      <c r="B208" s="690"/>
      <c r="C208" s="690"/>
      <c r="D208" s="690"/>
      <c r="E208" s="690"/>
      <c r="F208" s="690"/>
      <c r="G208" s="690"/>
      <c r="H208" s="690"/>
      <c r="I208" s="690"/>
      <c r="J208" s="690"/>
      <c r="K208" s="690"/>
    </row>
    <row r="209" spans="1:11" ht="30" customHeight="1" thickBot="1">
      <c r="A209" s="690"/>
      <c r="B209" s="700" t="str">
        <f>"Tabela G2.5E. Liczba zbudowanych nowych stacji CNG i LCNG oraz punktów tankowania"</f>
        <v>Tabela G2.5E. Liczba zbudowanych nowych stacji CNG i LCNG oraz punktów tankowania</v>
      </c>
      <c r="C209" s="690"/>
      <c r="D209" s="690"/>
      <c r="E209" s="690"/>
      <c r="F209" s="690"/>
      <c r="G209" s="690"/>
      <c r="H209" s="690"/>
      <c r="I209" s="690"/>
      <c r="J209" s="690"/>
      <c r="K209" s="690"/>
    </row>
    <row r="210" spans="1:11" ht="18.75" customHeight="1" thickBot="1">
      <c r="A210" s="690"/>
      <c r="B210" s="996" t="str">
        <f>'Tab.G1.1-4'!$B$8</f>
        <v>LP</v>
      </c>
      <c r="C210" s="1003" t="str">
        <f>'Tab.G1.1-4'!$C$8</f>
        <v>Wyszczególnienie</v>
      </c>
      <c r="D210" s="999"/>
      <c r="E210" s="1009" t="str">
        <f>"LICZBA WYKONANYCH W "&amp;Rok_ZPR</f>
        <v>LICZBA WYKONANYCH W 2020</v>
      </c>
      <c r="F210" s="1010"/>
      <c r="G210" s="690"/>
      <c r="H210" s="690"/>
      <c r="I210" s="690"/>
      <c r="J210" s="690"/>
      <c r="K210" s="690"/>
    </row>
    <row r="211" spans="1:11" ht="35.1" customHeight="1">
      <c r="A211" s="690"/>
      <c r="B211" s="997"/>
      <c r="C211" s="1004"/>
      <c r="D211" s="1001"/>
      <c r="E211" s="845" t="str">
        <f>"STACJI"</f>
        <v>STACJI</v>
      </c>
      <c r="F211" s="845" t="str">
        <f>"PUNKTÓW TANKOWANIA"</f>
        <v>PUNKTÓW TANKOWANIA</v>
      </c>
      <c r="G211" s="690"/>
      <c r="H211" s="690"/>
      <c r="I211" s="690"/>
      <c r="J211" s="690"/>
      <c r="K211" s="690"/>
    </row>
    <row r="212" spans="1:11" ht="13.8" thickBot="1">
      <c r="A212" s="690"/>
      <c r="B212" s="649" t="str">
        <f t="array" ref="B212:B221">$B$11:$B$20</f>
        <v>01</v>
      </c>
      <c r="C212" s="994" t="str">
        <f>$B$12</f>
        <v>02</v>
      </c>
      <c r="D212" s="995"/>
      <c r="E212" s="650" t="str">
        <f>$B$13</f>
        <v>03</v>
      </c>
      <c r="F212" s="650" t="str">
        <f>$B$14</f>
        <v>04</v>
      </c>
      <c r="G212" s="690"/>
      <c r="H212" s="690"/>
      <c r="I212" s="690"/>
      <c r="J212" s="690"/>
      <c r="K212" s="690"/>
    </row>
    <row r="213" spans="1:11" ht="15.6" thickBot="1">
      <c r="A213" s="690"/>
      <c r="B213" s="646" t="str">
        <v>02</v>
      </c>
      <c r="C213" s="711" t="str">
        <f>"OGÓŁEM STACJE CNG I LCNG"</f>
        <v>OGÓŁEM STACJE CNG I LCNG</v>
      </c>
      <c r="D213" s="712" t="str">
        <f t="shared" ref="D213:D221" si="8">$D$108</f>
        <v>[szt.]</v>
      </c>
      <c r="E213" s="713">
        <f>SUM(E214,E218)</f>
        <v>0</v>
      </c>
      <c r="F213" s="713">
        <f>SUM(F214,F218)</f>
        <v>0</v>
      </c>
      <c r="G213" s="690"/>
      <c r="H213" s="690"/>
      <c r="I213" s="690"/>
      <c r="J213" s="690"/>
      <c r="K213" s="690"/>
    </row>
    <row r="214" spans="1:11" ht="15">
      <c r="A214" s="690"/>
      <c r="B214" s="639" t="str">
        <v>03</v>
      </c>
      <c r="C214" s="12" t="str">
        <f>"STACJE CNG"</f>
        <v>STACJE CNG</v>
      </c>
      <c r="D214" s="5" t="str">
        <f t="shared" si="8"/>
        <v>[szt.]</v>
      </c>
      <c r="E214" s="151">
        <f>SUM(E215:E217)</f>
        <v>0</v>
      </c>
      <c r="F214" s="151">
        <f>SUM(F215:F217)</f>
        <v>0</v>
      </c>
      <c r="G214" s="690"/>
      <c r="H214" s="690"/>
      <c r="I214" s="690"/>
      <c r="J214" s="690"/>
      <c r="K214" s="690"/>
    </row>
    <row r="215" spans="1:11" ht="15">
      <c r="A215" s="690"/>
      <c r="B215" s="640" t="str">
        <v>04</v>
      </c>
      <c r="C215" s="263" t="s">
        <v>285</v>
      </c>
      <c r="D215" s="6" t="str">
        <f t="shared" si="8"/>
        <v>[szt.]</v>
      </c>
      <c r="E215" s="152"/>
      <c r="F215" s="152"/>
      <c r="G215" s="690"/>
      <c r="H215" s="690"/>
      <c r="I215" s="690"/>
      <c r="J215" s="690"/>
      <c r="K215" s="690"/>
    </row>
    <row r="216" spans="1:11" ht="15">
      <c r="A216" s="690"/>
      <c r="B216" s="641" t="str">
        <v>05</v>
      </c>
      <c r="C216" s="264" t="s">
        <v>286</v>
      </c>
      <c r="D216" s="7" t="str">
        <f t="shared" si="8"/>
        <v>[szt.]</v>
      </c>
      <c r="E216" s="153"/>
      <c r="F216" s="153"/>
      <c r="G216" s="690"/>
      <c r="H216" s="690"/>
      <c r="I216" s="690"/>
      <c r="J216" s="690"/>
      <c r="K216" s="690"/>
    </row>
    <row r="217" spans="1:11" ht="15">
      <c r="A217" s="690"/>
      <c r="B217" s="642" t="str">
        <v>06</v>
      </c>
      <c r="C217" s="272" t="s">
        <v>287</v>
      </c>
      <c r="D217" s="8" t="str">
        <f t="shared" si="8"/>
        <v>[szt.]</v>
      </c>
      <c r="E217" s="154"/>
      <c r="F217" s="154"/>
      <c r="G217" s="690"/>
      <c r="H217" s="690"/>
      <c r="I217" s="690"/>
      <c r="J217" s="690"/>
      <c r="K217" s="690"/>
    </row>
    <row r="218" spans="1:11" ht="15">
      <c r="A218" s="690"/>
      <c r="B218" s="639" t="str">
        <v>07</v>
      </c>
      <c r="C218" s="12" t="str">
        <f>"STACJE LCNG"</f>
        <v>STACJE LCNG</v>
      </c>
      <c r="D218" s="5" t="str">
        <f t="shared" si="8"/>
        <v>[szt.]</v>
      </c>
      <c r="E218" s="151">
        <f>SUM(E219:E221)</f>
        <v>0</v>
      </c>
      <c r="F218" s="151">
        <f>SUM(F219:F221)</f>
        <v>0</v>
      </c>
      <c r="G218" s="690"/>
      <c r="H218" s="690"/>
      <c r="I218" s="690"/>
      <c r="J218" s="690"/>
      <c r="K218" s="690"/>
    </row>
    <row r="219" spans="1:11" ht="15">
      <c r="A219" s="690"/>
      <c r="B219" s="640" t="str">
        <v>08</v>
      </c>
      <c r="C219" s="263" t="s">
        <v>285</v>
      </c>
      <c r="D219" s="6" t="str">
        <f t="shared" si="8"/>
        <v>[szt.]</v>
      </c>
      <c r="E219" s="152"/>
      <c r="F219" s="152"/>
      <c r="G219" s="690"/>
      <c r="H219" s="690"/>
      <c r="I219" s="690"/>
      <c r="J219" s="690"/>
      <c r="K219" s="690"/>
    </row>
    <row r="220" spans="1:11" ht="15">
      <c r="A220" s="690"/>
      <c r="B220" s="641" t="str">
        <v>09</v>
      </c>
      <c r="C220" s="264" t="s">
        <v>286</v>
      </c>
      <c r="D220" s="7" t="str">
        <f t="shared" si="8"/>
        <v>[szt.]</v>
      </c>
      <c r="E220" s="153"/>
      <c r="F220" s="153"/>
      <c r="G220" s="690"/>
      <c r="H220" s="690"/>
      <c r="I220" s="690"/>
      <c r="J220" s="690"/>
      <c r="K220" s="690"/>
    </row>
    <row r="221" spans="1:11" ht="15.6" thickBot="1">
      <c r="A221" s="690"/>
      <c r="B221" s="644" t="str">
        <v>10</v>
      </c>
      <c r="C221" s="844" t="s">
        <v>287</v>
      </c>
      <c r="D221" s="10" t="str">
        <f t="shared" si="8"/>
        <v>[szt.]</v>
      </c>
      <c r="E221" s="156"/>
      <c r="F221" s="156"/>
      <c r="G221" s="690"/>
      <c r="H221" s="690"/>
      <c r="I221" s="690"/>
      <c r="J221" s="690"/>
      <c r="K221" s="690"/>
    </row>
    <row r="222" spans="1:11">
      <c r="A222" s="690"/>
      <c r="B222" s="690"/>
      <c r="C222" s="690"/>
      <c r="D222" s="690"/>
      <c r="E222" s="690"/>
      <c r="F222" s="690"/>
      <c r="G222" s="690"/>
      <c r="H222" s="690"/>
      <c r="I222" s="690"/>
      <c r="J222" s="690"/>
      <c r="K222" s="690"/>
    </row>
    <row r="223" spans="1:11">
      <c r="A223" s="690"/>
      <c r="B223" s="690"/>
      <c r="C223" s="690"/>
      <c r="D223" s="690"/>
      <c r="E223" s="690"/>
      <c r="F223" s="690"/>
      <c r="G223" s="690"/>
      <c r="H223" s="690"/>
      <c r="I223" s="690"/>
      <c r="J223" s="690"/>
      <c r="K223" s="690"/>
    </row>
    <row r="224" spans="1:11" ht="30" customHeight="1" thickBot="1">
      <c r="A224" s="690"/>
      <c r="B224" s="700" t="s">
        <v>240</v>
      </c>
      <c r="C224" s="690"/>
      <c r="D224" s="690"/>
      <c r="E224" s="690"/>
      <c r="F224" s="690"/>
      <c r="G224" s="690"/>
      <c r="H224" s="690"/>
      <c r="I224" s="690"/>
      <c r="J224" s="690"/>
      <c r="K224" s="690"/>
    </row>
    <row r="225" spans="1:11" ht="15">
      <c r="A225" s="690"/>
      <c r="B225" s="996" t="str">
        <f>'Tab.G1.1-4'!$B$8</f>
        <v>LP</v>
      </c>
      <c r="C225" s="1003" t="str">
        <f>'Tab.G1.1-4'!$C$8</f>
        <v>Wyszczególnienie</v>
      </c>
      <c r="D225" s="999"/>
      <c r="E225" s="632" t="str">
        <f>'Tab.G1.1-4'!$E$8</f>
        <v>Wykonanie</v>
      </c>
      <c r="F225" s="690"/>
      <c r="G225" s="690"/>
      <c r="H225" s="690"/>
      <c r="I225" s="690"/>
      <c r="J225" s="690"/>
      <c r="K225" s="690"/>
    </row>
    <row r="226" spans="1:11" ht="15">
      <c r="A226" s="690"/>
      <c r="B226" s="997"/>
      <c r="C226" s="1004"/>
      <c r="D226" s="1001"/>
      <c r="E226" s="633">
        <f>Rok_ZPR</f>
        <v>2020</v>
      </c>
      <c r="F226" s="690"/>
      <c r="G226" s="690"/>
      <c r="H226" s="690"/>
      <c r="I226" s="690"/>
      <c r="J226" s="690"/>
      <c r="K226" s="690"/>
    </row>
    <row r="227" spans="1:11" ht="13.8" thickBot="1">
      <c r="A227" s="690"/>
      <c r="B227" s="649" t="str">
        <f t="array" ref="B227:B236">$B$11:$B$20</f>
        <v>01</v>
      </c>
      <c r="C227" s="994" t="str">
        <f>$B$12</f>
        <v>02</v>
      </c>
      <c r="D227" s="995"/>
      <c r="E227" s="650" t="str">
        <f>$B$13</f>
        <v>03</v>
      </c>
      <c r="F227" s="690"/>
      <c r="G227" s="690"/>
      <c r="H227" s="690"/>
      <c r="I227" s="690"/>
      <c r="J227" s="690"/>
      <c r="K227" s="690"/>
    </row>
    <row r="228" spans="1:11" ht="15.6" thickBot="1">
      <c r="A228" s="690"/>
      <c r="B228" s="646" t="str">
        <v>02</v>
      </c>
      <c r="C228" s="711" t="str">
        <f>"OGÓŁEM STACJE CNG I LCNG"</f>
        <v>OGÓŁEM STACJE CNG I LCNG</v>
      </c>
      <c r="D228" s="712" t="str">
        <f t="shared" ref="D228:D236" si="9">$D$170</f>
        <v>[tys. zł/szt.]</v>
      </c>
      <c r="E228" s="713" t="str">
        <f t="array" ref="E228:E236">IFERROR(E198:E206/E213:E221,"")</f>
        <v/>
      </c>
      <c r="F228" s="690"/>
      <c r="G228" s="690"/>
      <c r="H228" s="690"/>
      <c r="I228" s="690"/>
      <c r="J228" s="690"/>
      <c r="K228" s="690"/>
    </row>
    <row r="229" spans="1:11" ht="15">
      <c r="A229" s="690"/>
      <c r="B229" s="639" t="str">
        <v>03</v>
      </c>
      <c r="C229" s="12" t="str">
        <f>"STACJE CNG"</f>
        <v>STACJE CNG</v>
      </c>
      <c r="D229" s="5" t="str">
        <f t="shared" si="9"/>
        <v>[tys. zł/szt.]</v>
      </c>
      <c r="E229" s="151" t="str">
        <v/>
      </c>
      <c r="F229" s="690"/>
      <c r="G229" s="690"/>
      <c r="H229" s="690"/>
      <c r="I229" s="690"/>
      <c r="J229" s="690"/>
      <c r="K229" s="690"/>
    </row>
    <row r="230" spans="1:11" ht="15">
      <c r="A230" s="690"/>
      <c r="B230" s="640" t="str">
        <v>04</v>
      </c>
      <c r="C230" s="263" t="s">
        <v>285</v>
      </c>
      <c r="D230" s="6" t="str">
        <f t="shared" si="9"/>
        <v>[tys. zł/szt.]</v>
      </c>
      <c r="E230" s="152" t="str">
        <v/>
      </c>
      <c r="F230" s="690"/>
      <c r="G230" s="690"/>
      <c r="H230" s="690"/>
      <c r="I230" s="690"/>
      <c r="J230" s="690"/>
      <c r="K230" s="690"/>
    </row>
    <row r="231" spans="1:11" ht="15">
      <c r="A231" s="690"/>
      <c r="B231" s="641" t="str">
        <v>05</v>
      </c>
      <c r="C231" s="264" t="s">
        <v>286</v>
      </c>
      <c r="D231" s="7" t="str">
        <f t="shared" si="9"/>
        <v>[tys. zł/szt.]</v>
      </c>
      <c r="E231" s="153" t="str">
        <v/>
      </c>
      <c r="F231" s="690"/>
      <c r="G231" s="690"/>
      <c r="H231" s="690"/>
      <c r="I231" s="690"/>
      <c r="J231" s="690"/>
      <c r="K231" s="690"/>
    </row>
    <row r="232" spans="1:11" ht="15">
      <c r="A232" s="690"/>
      <c r="B232" s="642" t="str">
        <v>06</v>
      </c>
      <c r="C232" s="272" t="s">
        <v>287</v>
      </c>
      <c r="D232" s="8" t="str">
        <f t="shared" si="9"/>
        <v>[tys. zł/szt.]</v>
      </c>
      <c r="E232" s="154" t="str">
        <v/>
      </c>
      <c r="F232" s="690"/>
      <c r="G232" s="690"/>
      <c r="H232" s="690"/>
      <c r="I232" s="690"/>
      <c r="J232" s="690"/>
      <c r="K232" s="690"/>
    </row>
    <row r="233" spans="1:11" ht="15">
      <c r="A233" s="690"/>
      <c r="B233" s="639" t="str">
        <v>07</v>
      </c>
      <c r="C233" s="12" t="str">
        <f>"STACJE LCNG"</f>
        <v>STACJE LCNG</v>
      </c>
      <c r="D233" s="5" t="str">
        <f t="shared" si="9"/>
        <v>[tys. zł/szt.]</v>
      </c>
      <c r="E233" s="151" t="str">
        <v/>
      </c>
      <c r="F233" s="690"/>
      <c r="G233" s="690"/>
      <c r="H233" s="690"/>
      <c r="I233" s="690"/>
      <c r="J233" s="690"/>
      <c r="K233" s="690"/>
    </row>
    <row r="234" spans="1:11" ht="15">
      <c r="A234" s="690"/>
      <c r="B234" s="640" t="str">
        <v>08</v>
      </c>
      <c r="C234" s="263" t="s">
        <v>285</v>
      </c>
      <c r="D234" s="6" t="str">
        <f t="shared" si="9"/>
        <v>[tys. zł/szt.]</v>
      </c>
      <c r="E234" s="152" t="str">
        <v/>
      </c>
      <c r="F234" s="690"/>
      <c r="G234" s="690"/>
      <c r="H234" s="690"/>
      <c r="I234" s="690"/>
      <c r="J234" s="690"/>
      <c r="K234" s="690"/>
    </row>
    <row r="235" spans="1:11" ht="15">
      <c r="A235" s="690"/>
      <c r="B235" s="641" t="str">
        <v>09</v>
      </c>
      <c r="C235" s="264" t="s">
        <v>286</v>
      </c>
      <c r="D235" s="7" t="str">
        <f t="shared" si="9"/>
        <v>[tys. zł/szt.]</v>
      </c>
      <c r="E235" s="153" t="str">
        <v/>
      </c>
      <c r="F235" s="690"/>
      <c r="G235" s="690"/>
      <c r="H235" s="690"/>
      <c r="I235" s="690"/>
      <c r="J235" s="690"/>
      <c r="K235" s="690"/>
    </row>
    <row r="236" spans="1:11" ht="15.6" thickBot="1">
      <c r="A236" s="690"/>
      <c r="B236" s="644" t="str">
        <v>10</v>
      </c>
      <c r="C236" s="844" t="s">
        <v>287</v>
      </c>
      <c r="D236" s="10" t="str">
        <f t="shared" si="9"/>
        <v>[tys. zł/szt.]</v>
      </c>
      <c r="E236" s="156" t="str">
        <v/>
      </c>
      <c r="F236" s="690"/>
      <c r="G236" s="690"/>
      <c r="H236" s="690"/>
      <c r="I236" s="690"/>
      <c r="J236" s="690"/>
      <c r="K236" s="690"/>
    </row>
    <row r="237" spans="1:11" ht="15">
      <c r="A237" s="690"/>
      <c r="B237" s="690"/>
      <c r="C237" s="857"/>
      <c r="D237" s="690"/>
      <c r="E237" s="690"/>
      <c r="F237" s="690"/>
      <c r="G237" s="690"/>
      <c r="H237" s="690"/>
      <c r="I237" s="690"/>
      <c r="J237" s="690"/>
      <c r="K237" s="690"/>
    </row>
    <row r="238" spans="1:11" ht="15">
      <c r="A238" s="690"/>
      <c r="B238" s="690"/>
      <c r="C238" s="857"/>
      <c r="D238" s="690"/>
      <c r="E238" s="690"/>
      <c r="F238" s="690"/>
      <c r="G238" s="690"/>
      <c r="H238" s="690"/>
      <c r="I238" s="690"/>
      <c r="J238" s="690"/>
      <c r="K238" s="690"/>
    </row>
    <row r="239" spans="1:11" ht="15">
      <c r="A239" s="690"/>
      <c r="B239" s="690"/>
      <c r="C239" s="857"/>
      <c r="D239" s="690"/>
      <c r="E239" s="690"/>
      <c r="F239" s="690"/>
      <c r="G239" s="690"/>
      <c r="H239" s="690"/>
      <c r="I239" s="690"/>
      <c r="J239" s="690"/>
      <c r="K239" s="690"/>
    </row>
    <row r="240" spans="1:11" ht="15">
      <c r="C240" s="852"/>
    </row>
    <row r="241" spans="3:3" ht="15">
      <c r="C241" s="852"/>
    </row>
    <row r="242" spans="3:3" ht="15">
      <c r="C242" s="852"/>
    </row>
    <row r="243" spans="3:3" ht="15">
      <c r="C243" s="852"/>
    </row>
    <row r="244" spans="3:3" ht="15">
      <c r="C244" s="852"/>
    </row>
    <row r="245" spans="3:3" ht="15">
      <c r="C245" s="852"/>
    </row>
    <row r="246" spans="3:3" ht="15">
      <c r="C246" s="852"/>
    </row>
    <row r="247" spans="3:3" ht="15">
      <c r="C247" s="852"/>
    </row>
  </sheetData>
  <protectedRanges>
    <protectedRange sqref="E11 E73 E135 E197 E212 E227" name="Tabela 3A_1_2"/>
  </protectedRanges>
  <mergeCells count="25">
    <mergeCell ref="C11:D11"/>
    <mergeCell ref="B195:B196"/>
    <mergeCell ref="C195:D196"/>
    <mergeCell ref="C197:D197"/>
    <mergeCell ref="B71:B72"/>
    <mergeCell ref="C71:D72"/>
    <mergeCell ref="C73:D73"/>
    <mergeCell ref="B133:B134"/>
    <mergeCell ref="C133:D134"/>
    <mergeCell ref="C135:D135"/>
    <mergeCell ref="B2:G2"/>
    <mergeCell ref="C3:G3"/>
    <mergeCell ref="C7:G7"/>
    <mergeCell ref="B9:B10"/>
    <mergeCell ref="C9:D10"/>
    <mergeCell ref="C4:G4"/>
    <mergeCell ref="C5:G5"/>
    <mergeCell ref="C6:G6"/>
    <mergeCell ref="C227:D227"/>
    <mergeCell ref="E210:F210"/>
    <mergeCell ref="B210:B211"/>
    <mergeCell ref="C210:D211"/>
    <mergeCell ref="C212:D212"/>
    <mergeCell ref="B225:B226"/>
    <mergeCell ref="C225:D226"/>
  </mergeCells>
  <hyperlinks>
    <hyperlink ref="C1" location="Spis!B10" display="Spis!B10" xr:uid="{00000000-0004-0000-04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22">
    <pageSetUpPr fitToPage="1"/>
  </sheetPr>
  <dimension ref="A1:Z112"/>
  <sheetViews>
    <sheetView zoomScale="90" zoomScaleNormal="90" zoomScaleSheetLayoutView="75" workbookViewId="0">
      <pane ySplit="9" topLeftCell="A10" activePane="bottomLeft" state="frozen"/>
      <selection pane="bottomLeft" activeCell="C133" sqref="C133"/>
    </sheetView>
  </sheetViews>
  <sheetFormatPr defaultColWidth="11.36328125" defaultRowHeight="13.2"/>
  <cols>
    <col min="1" max="1" width="4.1796875" style="207" customWidth="1"/>
    <col min="2" max="2" width="4.81640625" style="284" customWidth="1"/>
    <col min="3" max="3" width="66.81640625" style="207" customWidth="1"/>
    <col min="4" max="4" width="12.81640625" style="207" customWidth="1"/>
    <col min="5" max="5" width="15.81640625" style="207" customWidth="1"/>
    <col min="6" max="8" width="10.81640625" style="207" customWidth="1"/>
    <col min="9" max="9" width="11.36328125" style="207"/>
    <col min="10" max="10" width="15.6328125" style="207" customWidth="1"/>
    <col min="11" max="11" width="11.36328125" style="273"/>
    <col min="12" max="16384" width="11.36328125" style="207"/>
  </cols>
  <sheetData>
    <row r="1" spans="1:12" ht="14.1" customHeight="1">
      <c r="A1" s="273"/>
      <c r="B1" s="275"/>
      <c r="C1" s="275"/>
      <c r="D1" s="275"/>
      <c r="E1" s="275"/>
      <c r="F1" s="275"/>
      <c r="G1" s="275"/>
      <c r="H1" s="275"/>
      <c r="I1" s="273"/>
      <c r="J1" s="273"/>
    </row>
    <row r="2" spans="1:12" ht="18.899999999999999" customHeight="1">
      <c r="A2" s="273"/>
      <c r="B2" s="275"/>
      <c r="C2" s="944" t="s">
        <v>10</v>
      </c>
      <c r="D2" s="275"/>
      <c r="E2" s="275"/>
      <c r="F2" s="275"/>
      <c r="G2" s="275"/>
      <c r="H2" s="275"/>
      <c r="I2" s="273"/>
      <c r="J2" s="273"/>
    </row>
    <row r="3" spans="1:12" ht="9.9" customHeight="1">
      <c r="A3" s="274"/>
      <c r="B3" s="684"/>
      <c r="C3" s="275"/>
      <c r="D3" s="684"/>
      <c r="E3" s="684"/>
      <c r="F3" s="275"/>
      <c r="G3" s="685"/>
      <c r="H3" s="685"/>
      <c r="I3" s="274"/>
      <c r="J3" s="274"/>
    </row>
    <row r="4" spans="1:12" ht="24.9" customHeight="1">
      <c r="A4" s="274"/>
      <c r="B4" s="850" t="s">
        <v>14</v>
      </c>
      <c r="C4" s="1007" t="s">
        <v>280</v>
      </c>
      <c r="D4" s="1021"/>
      <c r="E4" s="1021"/>
      <c r="F4" s="1021"/>
      <c r="G4" s="1021"/>
      <c r="H4" s="687"/>
      <c r="I4" s="683"/>
      <c r="J4" s="683"/>
      <c r="K4" s="683"/>
      <c r="L4" s="148"/>
    </row>
    <row r="5" spans="1:12" ht="24.9" customHeight="1">
      <c r="A5" s="274"/>
      <c r="B5" s="850" t="s">
        <v>29</v>
      </c>
      <c r="C5" s="1007" t="s">
        <v>270</v>
      </c>
      <c r="D5" s="1008"/>
      <c r="E5" s="1008"/>
      <c r="F5" s="1008"/>
      <c r="G5" s="1008"/>
      <c r="H5" s="687"/>
      <c r="I5" s="682"/>
      <c r="J5" s="682"/>
      <c r="K5" s="682"/>
      <c r="L5" s="206"/>
    </row>
    <row r="6" spans="1:12" ht="15" customHeight="1">
      <c r="A6" s="274"/>
      <c r="B6" s="853"/>
      <c r="C6" s="1034" t="s">
        <v>18</v>
      </c>
      <c r="D6" s="1035"/>
      <c r="E6" s="1035"/>
      <c r="F6" s="1035"/>
      <c r="G6" s="1035"/>
      <c r="H6" s="275"/>
      <c r="I6" s="273"/>
      <c r="J6" s="273"/>
    </row>
    <row r="7" spans="1:12" ht="15" customHeight="1">
      <c r="A7" s="274"/>
      <c r="B7" s="854"/>
      <c r="C7" s="1036" t="s">
        <v>277</v>
      </c>
      <c r="D7" s="1036"/>
      <c r="E7" s="1036"/>
      <c r="F7" s="1036"/>
      <c r="G7" s="1036"/>
      <c r="H7" s="690"/>
      <c r="I7" s="148"/>
      <c r="J7" s="148"/>
    </row>
    <row r="8" spans="1:12" ht="24.9" customHeight="1">
      <c r="A8" s="274"/>
      <c r="B8" s="854"/>
      <c r="C8" s="1036" t="s">
        <v>279</v>
      </c>
      <c r="D8" s="1036"/>
      <c r="E8" s="1036"/>
      <c r="F8" s="1036"/>
      <c r="G8" s="1036"/>
      <c r="H8" s="690"/>
      <c r="I8" s="148"/>
      <c r="J8" s="148"/>
    </row>
    <row r="9" spans="1:12" ht="24.9" customHeight="1">
      <c r="A9" s="274"/>
      <c r="B9" s="854"/>
      <c r="C9" s="1036" t="s">
        <v>278</v>
      </c>
      <c r="D9" s="1036"/>
      <c r="E9" s="1036"/>
      <c r="F9" s="1036"/>
      <c r="G9" s="1036"/>
      <c r="H9" s="690"/>
      <c r="I9" s="148"/>
      <c r="J9" s="148"/>
    </row>
    <row r="10" spans="1:12" ht="30" customHeight="1" thickBot="1">
      <c r="A10" s="202"/>
      <c r="B10" s="202" t="s">
        <v>221</v>
      </c>
      <c r="C10" s="276"/>
      <c r="D10" s="276"/>
      <c r="E10" s="273"/>
      <c r="F10" s="275"/>
      <c r="G10" s="275"/>
      <c r="H10" s="273"/>
      <c r="I10" s="273"/>
      <c r="J10" s="273"/>
    </row>
    <row r="11" spans="1:12" ht="18.899999999999999" customHeight="1" thickTop="1">
      <c r="A11" s="202"/>
      <c r="B11" s="1032" t="str">
        <f>'Tab.G1.1-4'!$B$8</f>
        <v>LP</v>
      </c>
      <c r="C11" s="1030" t="str">
        <f>'Tab.G1.1-4'!$C$8</f>
        <v>Wyszczególnienie</v>
      </c>
      <c r="D11" s="1031"/>
      <c r="E11" s="653" t="str">
        <f>'Tab.G1.1-4'!$E$8</f>
        <v>Wykonanie</v>
      </c>
      <c r="F11" s="277"/>
      <c r="G11" s="277"/>
      <c r="H11" s="273"/>
      <c r="I11" s="273"/>
      <c r="J11" s="273"/>
    </row>
    <row r="12" spans="1:12" ht="18.899999999999999" customHeight="1">
      <c r="A12" s="202"/>
      <c r="B12" s="1033"/>
      <c r="C12" s="1004"/>
      <c r="D12" s="1001"/>
      <c r="E12" s="548">
        <f>Rok_ZPR</f>
        <v>2020</v>
      </c>
      <c r="F12" s="277"/>
      <c r="G12" s="277"/>
      <c r="H12" s="273"/>
      <c r="I12" s="273"/>
      <c r="J12" s="273"/>
    </row>
    <row r="13" spans="1:12" ht="14.1" customHeight="1" thickBot="1">
      <c r="A13" s="273"/>
      <c r="B13" s="652" t="str">
        <f t="array" ref="B13:B17">Tab.G17!$B$10:$B$14</f>
        <v>01</v>
      </c>
      <c r="C13" s="1013" t="str">
        <f>Tab.G17!$B$11</f>
        <v>02</v>
      </c>
      <c r="D13" s="1014"/>
      <c r="E13" s="667" t="str">
        <f>Tab.G17!$B$12</f>
        <v>03</v>
      </c>
      <c r="F13" s="277"/>
      <c r="G13" s="277"/>
      <c r="H13" s="273"/>
      <c r="I13" s="273"/>
      <c r="J13" s="273"/>
    </row>
    <row r="14" spans="1:12" ht="18.899999999999999"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899999999999999" customHeight="1">
      <c r="A15" s="273"/>
      <c r="B15" s="668" t="str">
        <v>03</v>
      </c>
      <c r="C15" s="681" t="s">
        <v>72</v>
      </c>
      <c r="D15" s="670" t="str">
        <f>'Tab.G1.1-4'!$D$11</f>
        <v>[tys. zł]</v>
      </c>
      <c r="E15" s="671"/>
      <c r="F15" s="277"/>
      <c r="G15" s="277"/>
      <c r="H15" s="273"/>
      <c r="I15" s="273"/>
      <c r="J15" s="273"/>
    </row>
    <row r="16" spans="1:12" ht="18.899999999999999" customHeight="1">
      <c r="A16" s="273"/>
      <c r="B16" s="680" t="str">
        <v>04</v>
      </c>
      <c r="C16" s="289" t="s">
        <v>73</v>
      </c>
      <c r="D16" s="285" t="str">
        <f>'Tab.G1.1-4'!$D$11</f>
        <v>[tys. zł]</v>
      </c>
      <c r="E16" s="286"/>
      <c r="F16" s="277"/>
      <c r="G16" s="277"/>
      <c r="H16" s="273"/>
      <c r="I16" s="273"/>
      <c r="J16" s="273"/>
    </row>
    <row r="17" spans="1:26" ht="18.899999999999999" customHeight="1" thickBot="1">
      <c r="A17" s="273"/>
      <c r="B17" s="291" t="str">
        <v>05</v>
      </c>
      <c r="C17" s="290" t="s">
        <v>74</v>
      </c>
      <c r="D17" s="287" t="str">
        <f>'Tab.G1.1-4'!$D$11</f>
        <v>[tys. zł]</v>
      </c>
      <c r="E17" s="288"/>
      <c r="F17" s="277"/>
      <c r="G17" s="277"/>
      <c r="H17" s="273"/>
      <c r="I17" s="273"/>
      <c r="J17" s="273"/>
    </row>
    <row r="18" spans="1:26" ht="18.899999999999999" customHeight="1" thickTop="1" thickBot="1">
      <c r="A18" s="273"/>
      <c r="B18" s="273"/>
      <c r="C18" s="273"/>
      <c r="D18" s="278" t="s">
        <v>31</v>
      </c>
      <c r="E18" s="279">
        <f>SUM(E14,-'Tab.G1.1-4'!E13)</f>
        <v>0</v>
      </c>
      <c r="F18" s="277"/>
      <c r="G18" s="277"/>
      <c r="H18" s="273"/>
      <c r="I18" s="273"/>
      <c r="J18" s="273"/>
    </row>
    <row r="19" spans="1:26" ht="18.899999999999999" customHeight="1">
      <c r="A19" s="275"/>
      <c r="B19" s="277"/>
      <c r="C19" s="277"/>
      <c r="D19" s="277"/>
      <c r="E19" s="277"/>
      <c r="F19" s="277"/>
      <c r="G19" s="277"/>
      <c r="H19" s="277"/>
      <c r="I19" s="206"/>
      <c r="J19" s="206"/>
    </row>
    <row r="20" spans="1:26" ht="18.899999999999999" customHeight="1">
      <c r="A20" s="275"/>
      <c r="B20" s="277"/>
      <c r="C20" s="277"/>
      <c r="D20" s="277"/>
      <c r="E20" s="277"/>
      <c r="F20" s="277"/>
      <c r="G20" s="277"/>
      <c r="H20" s="277"/>
      <c r="I20" s="206"/>
      <c r="J20" s="206"/>
    </row>
    <row r="21" spans="1:26" ht="30" customHeight="1" thickBot="1">
      <c r="A21" s="273"/>
      <c r="B21" s="202" t="s">
        <v>222</v>
      </c>
      <c r="D21" s="206"/>
      <c r="E21" s="277"/>
      <c r="F21" s="277"/>
      <c r="G21" s="277"/>
      <c r="H21" s="277"/>
      <c r="I21" s="206"/>
      <c r="J21" s="206"/>
      <c r="K21" s="280"/>
      <c r="L21" s="281"/>
      <c r="M21" s="282"/>
      <c r="N21" s="282"/>
      <c r="O21" s="282"/>
      <c r="P21" s="282"/>
      <c r="Q21" s="282"/>
      <c r="R21" s="282"/>
      <c r="S21" s="282"/>
      <c r="T21" s="282"/>
      <c r="U21" s="282"/>
      <c r="V21" s="282"/>
      <c r="W21" s="282"/>
      <c r="X21" s="282"/>
      <c r="Y21" s="282"/>
      <c r="Z21" s="282"/>
    </row>
    <row r="22" spans="1:26" ht="18.899999999999999" customHeight="1" thickTop="1">
      <c r="A22" s="273"/>
      <c r="B22" s="1024" t="str">
        <f>'Tab.G1.1-4'!$B$8</f>
        <v>LP</v>
      </c>
      <c r="C22" s="1026" t="str">
        <f>'Tab.G1.1-4'!$C$8</f>
        <v>Wyszczególnienie</v>
      </c>
      <c r="D22" s="1027"/>
      <c r="E22" s="653" t="str">
        <f>'Tab.G1.1-4'!$E$8</f>
        <v>Wykonanie</v>
      </c>
      <c r="F22" s="277"/>
      <c r="G22" s="277"/>
      <c r="H22" s="277"/>
      <c r="I22" s="206"/>
      <c r="J22" s="206"/>
      <c r="K22" s="280"/>
      <c r="L22" s="281"/>
      <c r="M22" s="282"/>
      <c r="N22" s="282"/>
      <c r="O22" s="282"/>
      <c r="P22" s="282"/>
      <c r="Q22" s="282"/>
      <c r="R22" s="282"/>
      <c r="S22" s="282"/>
      <c r="T22" s="282"/>
      <c r="U22" s="282"/>
      <c r="V22" s="282"/>
      <c r="W22" s="282"/>
      <c r="X22" s="282"/>
      <c r="Y22" s="282"/>
      <c r="Z22" s="282"/>
    </row>
    <row r="23" spans="1:26" ht="18.899999999999999" customHeight="1">
      <c r="A23" s="273"/>
      <c r="B23" s="1025"/>
      <c r="C23" s="1028"/>
      <c r="D23" s="1029"/>
      <c r="E23" s="548">
        <f>Rok_ZPR</f>
        <v>2020</v>
      </c>
      <c r="F23" s="277"/>
      <c r="G23" s="277"/>
      <c r="H23" s="277"/>
      <c r="I23" s="206"/>
      <c r="J23" s="20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3" t="str">
        <f>Tab.G17!$B$11</f>
        <v>02</v>
      </c>
      <c r="D24" s="1014"/>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899999999999999"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899999999999999" customHeight="1">
      <c r="A26" s="275"/>
      <c r="B26" s="668" t="str">
        <v>03</v>
      </c>
      <c r="C26" s="694" t="s">
        <v>72</v>
      </c>
      <c r="D26" s="695" t="str">
        <f>'Tab.G1.1-4'!$D$11</f>
        <v>[tys. zł]</v>
      </c>
      <c r="E26" s="696"/>
      <c r="F26" s="275"/>
      <c r="G26" s="275"/>
      <c r="H26" s="275"/>
    </row>
    <row r="27" spans="1:26" ht="18.899999999999999" customHeight="1">
      <c r="A27" s="275"/>
      <c r="B27" s="680" t="str">
        <v>04</v>
      </c>
      <c r="C27" s="292" t="s">
        <v>73</v>
      </c>
      <c r="D27" s="293" t="str">
        <f>'Tab.G1.1-4'!$D$11</f>
        <v>[tys. zł]</v>
      </c>
      <c r="E27" s="304"/>
      <c r="F27" s="275"/>
      <c r="G27" s="275"/>
      <c r="H27" s="275"/>
    </row>
    <row r="28" spans="1:26" ht="18.899999999999999" customHeight="1" thickBot="1">
      <c r="A28" s="275"/>
      <c r="B28" s="291" t="str">
        <v>05</v>
      </c>
      <c r="C28" s="294" t="s">
        <v>74</v>
      </c>
      <c r="D28" s="295" t="str">
        <f>'Tab.G1.1-4'!$D$11</f>
        <v>[tys. zł]</v>
      </c>
      <c r="E28" s="305"/>
      <c r="F28" s="275"/>
      <c r="G28" s="275"/>
      <c r="H28" s="275"/>
    </row>
    <row r="29" spans="1:26" ht="18.899999999999999" customHeight="1" thickTop="1" thickBot="1">
      <c r="A29" s="275"/>
      <c r="B29" s="688"/>
      <c r="C29" s="692"/>
      <c r="D29" s="278" t="s">
        <v>31</v>
      </c>
      <c r="E29" s="279">
        <f>SUM(E25,-'Tab.G2.1-3'!E33)</f>
        <v>0</v>
      </c>
      <c r="F29" s="275"/>
      <c r="G29" s="275"/>
      <c r="H29" s="275"/>
    </row>
    <row r="30" spans="1:26" ht="18.899999999999999" customHeight="1">
      <c r="A30" s="275"/>
      <c r="B30" s="688"/>
      <c r="C30" s="275"/>
      <c r="D30" s="275"/>
      <c r="E30" s="275"/>
      <c r="F30" s="275"/>
      <c r="G30" s="275"/>
      <c r="H30" s="275"/>
    </row>
    <row r="31" spans="1:26" ht="18.899999999999999" customHeight="1">
      <c r="A31" s="275"/>
      <c r="B31" s="688"/>
      <c r="C31" s="275"/>
      <c r="D31" s="275"/>
      <c r="E31" s="275"/>
      <c r="F31" s="275"/>
      <c r="G31" s="275"/>
      <c r="H31" s="275"/>
    </row>
    <row r="32" spans="1:26" ht="30" customHeight="1" thickBot="1">
      <c r="A32" s="275"/>
      <c r="B32" s="147" t="s">
        <v>140</v>
      </c>
      <c r="D32" s="147"/>
      <c r="E32" s="690"/>
      <c r="F32" s="275"/>
      <c r="G32" s="275"/>
      <c r="H32" s="275"/>
    </row>
    <row r="33" spans="1:8" ht="18.899999999999999" customHeight="1" thickTop="1">
      <c r="A33" s="275"/>
      <c r="B33" s="1015" t="str">
        <f>'Tab.G1.1-4'!$B$8</f>
        <v>LP</v>
      </c>
      <c r="C33" s="1017" t="str">
        <f>'Tab.G1.1-4'!$C$8</f>
        <v>Wyszczególnienie</v>
      </c>
      <c r="D33" s="1018"/>
      <c r="E33" s="679" t="str">
        <f>'Tab.G1.1-4'!$E$8</f>
        <v>Wykonanie</v>
      </c>
      <c r="F33" s="275"/>
      <c r="G33" s="275"/>
      <c r="H33" s="275"/>
    </row>
    <row r="34" spans="1:8" ht="18.899999999999999" customHeight="1">
      <c r="A34" s="275"/>
      <c r="B34" s="1016"/>
      <c r="C34" s="1019"/>
      <c r="D34" s="1020"/>
      <c r="E34" s="676">
        <f>Rok_ZPR</f>
        <v>2020</v>
      </c>
      <c r="F34" s="275"/>
      <c r="G34" s="275"/>
      <c r="H34" s="275"/>
    </row>
    <row r="35" spans="1:8" ht="14.1" customHeight="1" thickBot="1">
      <c r="A35" s="275"/>
      <c r="B35" s="677" t="str">
        <f t="array" ref="B35:B55">Tab.G17!$B$10:$B$30</f>
        <v>01</v>
      </c>
      <c r="C35" s="1013" t="str">
        <f>Tab.G17!$B$11</f>
        <v>02</v>
      </c>
      <c r="D35" s="1014"/>
      <c r="E35" s="667" t="str">
        <f>Tab.G17!$B$12</f>
        <v>03</v>
      </c>
      <c r="F35" s="275"/>
      <c r="G35" s="275"/>
      <c r="H35" s="275"/>
    </row>
    <row r="36" spans="1:8" ht="18.899999999999999" customHeight="1">
      <c r="A36" s="275"/>
      <c r="B36" s="707" t="str">
        <v>02</v>
      </c>
      <c r="C36" s="656" t="s">
        <v>139</v>
      </c>
      <c r="D36" s="657" t="str">
        <f>'Tab.G2.1-3'!$D$106</f>
        <v>[szt.]</v>
      </c>
      <c r="E36" s="658">
        <f>SUM(E37:E39)</f>
        <v>0</v>
      </c>
      <c r="F36" s="275"/>
      <c r="G36" s="275"/>
      <c r="H36" s="275"/>
    </row>
    <row r="37" spans="1:8" ht="18.899999999999999" customHeight="1">
      <c r="A37" s="275"/>
      <c r="B37" s="701" t="str">
        <v>03</v>
      </c>
      <c r="C37" s="296" t="s">
        <v>72</v>
      </c>
      <c r="D37" s="297" t="str">
        <f>'Tab.G2.1-3'!$D$106</f>
        <v>[szt.]</v>
      </c>
      <c r="E37" s="306"/>
      <c r="F37" s="275"/>
      <c r="G37" s="275"/>
      <c r="H37" s="275"/>
    </row>
    <row r="38" spans="1:8" ht="18.899999999999999" customHeight="1">
      <c r="A38" s="275"/>
      <c r="B38" s="702" t="str">
        <v>04</v>
      </c>
      <c r="C38" s="298" t="s">
        <v>73</v>
      </c>
      <c r="D38" s="299" t="str">
        <f>'Tab.G2.1-3'!$D$106</f>
        <v>[szt.]</v>
      </c>
      <c r="E38" s="307"/>
      <c r="F38" s="275"/>
      <c r="G38" s="275"/>
      <c r="H38" s="275"/>
    </row>
    <row r="39" spans="1:8" ht="18.899999999999999" customHeight="1" thickBot="1">
      <c r="A39" s="275"/>
      <c r="B39" s="703" t="str">
        <v>05</v>
      </c>
      <c r="C39" s="300" t="s">
        <v>74</v>
      </c>
      <c r="D39" s="301" t="str">
        <f>'Tab.G2.1-3'!$D$106</f>
        <v>[szt.]</v>
      </c>
      <c r="E39" s="308"/>
      <c r="F39" s="275"/>
      <c r="G39" s="275"/>
      <c r="H39" s="275"/>
    </row>
    <row r="40" spans="1:8" ht="18.899999999999999" customHeight="1">
      <c r="A40" s="275"/>
      <c r="B40" s="659" t="str">
        <v>06</v>
      </c>
      <c r="C40" s="310" t="s">
        <v>142</v>
      </c>
      <c r="D40" s="311" t="str">
        <f>'Tab.G2.1-3'!$D$72</f>
        <v>[km]</v>
      </c>
      <c r="E40" s="312">
        <f>SUM(E41:E43)</f>
        <v>0</v>
      </c>
      <c r="F40" s="275"/>
      <c r="G40" s="275"/>
      <c r="H40" s="275"/>
    </row>
    <row r="41" spans="1:8" ht="18.899999999999999" customHeight="1">
      <c r="A41" s="275"/>
      <c r="B41" s="701" t="str">
        <v>07</v>
      </c>
      <c r="C41" s="296" t="s">
        <v>72</v>
      </c>
      <c r="D41" s="297" t="str">
        <f>'Tab.G2.1-3'!$D$72</f>
        <v>[km]</v>
      </c>
      <c r="E41" s="306"/>
      <c r="F41" s="275"/>
      <c r="G41" s="275"/>
      <c r="H41" s="275"/>
    </row>
    <row r="42" spans="1:8" ht="18.899999999999999" customHeight="1">
      <c r="A42" s="275"/>
      <c r="B42" s="702" t="str">
        <v>08</v>
      </c>
      <c r="C42" s="298" t="s">
        <v>73</v>
      </c>
      <c r="D42" s="299" t="str">
        <f>'Tab.G2.1-3'!$D$72</f>
        <v>[km]</v>
      </c>
      <c r="E42" s="307"/>
      <c r="F42" s="275"/>
      <c r="G42" s="275"/>
      <c r="H42" s="275"/>
    </row>
    <row r="43" spans="1:8" ht="18.899999999999999" customHeight="1" thickBot="1">
      <c r="A43" s="275"/>
      <c r="B43" s="664" t="str">
        <v>09</v>
      </c>
      <c r="C43" s="302" t="s">
        <v>74</v>
      </c>
      <c r="D43" s="303" t="str">
        <f>'Tab.G2.1-3'!$D$72</f>
        <v>[km]</v>
      </c>
      <c r="E43" s="309"/>
      <c r="F43" s="275"/>
      <c r="G43" s="275"/>
      <c r="H43" s="275"/>
    </row>
    <row r="44" spans="1:8" ht="18.899999999999999" customHeight="1">
      <c r="A44" s="275"/>
      <c r="B44" s="659" t="str">
        <v>10</v>
      </c>
      <c r="C44" s="310" t="s">
        <v>143</v>
      </c>
      <c r="D44" s="311" t="str">
        <f>'Tab.G2.1-3'!$D$106</f>
        <v>[szt.]</v>
      </c>
      <c r="E44" s="312">
        <f>SUM(E45:E47)</f>
        <v>0</v>
      </c>
      <c r="F44" s="275"/>
      <c r="G44" s="275"/>
      <c r="H44" s="275"/>
    </row>
    <row r="45" spans="1:8" ht="18.899999999999999" customHeight="1">
      <c r="A45" s="275"/>
      <c r="B45" s="701" t="str">
        <v>11</v>
      </c>
      <c r="C45" s="296" t="s">
        <v>72</v>
      </c>
      <c r="D45" s="297" t="str">
        <f>'Tab.G2.1-3'!$D$106</f>
        <v>[szt.]</v>
      </c>
      <c r="E45" s="306"/>
      <c r="F45" s="275"/>
      <c r="G45" s="275"/>
      <c r="H45" s="275"/>
    </row>
    <row r="46" spans="1:8" ht="18.899999999999999" customHeight="1">
      <c r="A46" s="275"/>
      <c r="B46" s="702" t="str">
        <v>12</v>
      </c>
      <c r="C46" s="298" t="s">
        <v>73</v>
      </c>
      <c r="D46" s="299" t="str">
        <f>'Tab.G2.1-3'!$D$106</f>
        <v>[szt.]</v>
      </c>
      <c r="E46" s="307"/>
      <c r="F46" s="275"/>
      <c r="G46" s="275"/>
      <c r="H46" s="275"/>
    </row>
    <row r="47" spans="1:8" ht="18.899999999999999" customHeight="1" thickBot="1">
      <c r="A47" s="275"/>
      <c r="B47" s="664" t="str">
        <v>13</v>
      </c>
      <c r="C47" s="302" t="s">
        <v>74</v>
      </c>
      <c r="D47" s="303" t="str">
        <f>'Tab.G2.1-3'!$D$106</f>
        <v>[szt.]</v>
      </c>
      <c r="E47" s="309"/>
      <c r="F47" s="275"/>
      <c r="G47" s="275"/>
      <c r="H47" s="275"/>
    </row>
    <row r="48" spans="1:8" ht="18.899999999999999" customHeight="1">
      <c r="A48" s="275"/>
      <c r="B48" s="659" t="str">
        <v>14</v>
      </c>
      <c r="C48" s="310" t="s">
        <v>141</v>
      </c>
      <c r="D48" s="311" t="str">
        <f>"[m³/h]"</f>
        <v>[m³/h]</v>
      </c>
      <c r="E48" s="312">
        <f>SUM(E49:E51)</f>
        <v>0</v>
      </c>
      <c r="F48" s="275"/>
      <c r="G48" s="275"/>
      <c r="H48" s="275"/>
    </row>
    <row r="49" spans="1:8" ht="18.899999999999999" customHeight="1">
      <c r="A49" s="275"/>
      <c r="B49" s="701" t="str">
        <v>15</v>
      </c>
      <c r="C49" s="296" t="s">
        <v>72</v>
      </c>
      <c r="D49" s="297" t="str">
        <f t="shared" ref="D49:D55" si="0">$D$48</f>
        <v>[m³/h]</v>
      </c>
      <c r="E49" s="306"/>
      <c r="F49" s="275"/>
      <c r="G49" s="275"/>
      <c r="H49" s="275"/>
    </row>
    <row r="50" spans="1:8" ht="18.899999999999999" customHeight="1">
      <c r="A50" s="275"/>
      <c r="B50" s="702" t="str">
        <v>16</v>
      </c>
      <c r="C50" s="298" t="s">
        <v>73</v>
      </c>
      <c r="D50" s="299" t="str">
        <f t="shared" si="0"/>
        <v>[m³/h]</v>
      </c>
      <c r="E50" s="307"/>
      <c r="F50" s="275"/>
      <c r="G50" s="275"/>
      <c r="H50" s="275"/>
    </row>
    <row r="51" spans="1:8" ht="18.899999999999999" customHeight="1" thickBot="1">
      <c r="A51" s="275"/>
      <c r="B51" s="664" t="str">
        <v>17</v>
      </c>
      <c r="C51" s="302" t="s">
        <v>74</v>
      </c>
      <c r="D51" s="303" t="str">
        <f t="shared" si="0"/>
        <v>[m³/h]</v>
      </c>
      <c r="E51" s="309"/>
      <c r="F51" s="275"/>
      <c r="G51" s="275"/>
      <c r="H51" s="275"/>
    </row>
    <row r="52" spans="1:8" ht="18.899999999999999" customHeight="1">
      <c r="A52" s="275"/>
      <c r="B52" s="659" t="str">
        <v>18</v>
      </c>
      <c r="C52" s="310" t="s">
        <v>144</v>
      </c>
      <c r="D52" s="311" t="str">
        <f t="shared" si="0"/>
        <v>[m³/h]</v>
      </c>
      <c r="E52" s="312">
        <f>SUM(E53:E55)</f>
        <v>0</v>
      </c>
      <c r="F52" s="275"/>
      <c r="G52" s="275"/>
      <c r="H52" s="275"/>
    </row>
    <row r="53" spans="1:8" ht="18.899999999999999" customHeight="1">
      <c r="A53" s="275"/>
      <c r="B53" s="701" t="str">
        <v>19</v>
      </c>
      <c r="C53" s="296" t="s">
        <v>72</v>
      </c>
      <c r="D53" s="297" t="str">
        <f t="shared" si="0"/>
        <v>[m³/h]</v>
      </c>
      <c r="E53" s="306"/>
      <c r="F53" s="275"/>
      <c r="G53" s="275"/>
      <c r="H53" s="275"/>
    </row>
    <row r="54" spans="1:8" ht="18.899999999999999" customHeight="1">
      <c r="A54" s="275"/>
      <c r="B54" s="702" t="str">
        <v>20</v>
      </c>
      <c r="C54" s="298" t="s">
        <v>73</v>
      </c>
      <c r="D54" s="299" t="str">
        <f t="shared" si="0"/>
        <v>[m³/h]</v>
      </c>
      <c r="E54" s="307"/>
      <c r="F54" s="275"/>
      <c r="G54" s="275"/>
      <c r="H54" s="275"/>
    </row>
    <row r="55" spans="1:8" ht="18.899999999999999" customHeight="1" thickBot="1">
      <c r="A55" s="275"/>
      <c r="B55" s="666" t="str">
        <v>21</v>
      </c>
      <c r="C55" s="313" t="s">
        <v>74</v>
      </c>
      <c r="D55" s="314" t="str">
        <f t="shared" si="0"/>
        <v>[m³/h]</v>
      </c>
      <c r="E55" s="315"/>
      <c r="F55" s="275"/>
      <c r="G55" s="275"/>
      <c r="H55" s="275"/>
    </row>
    <row r="56" spans="1:8" ht="9.9" customHeight="1" thickTop="1">
      <c r="A56" s="275"/>
      <c r="B56" s="688"/>
      <c r="C56" s="275"/>
      <c r="D56" s="275"/>
      <c r="E56" s="275"/>
      <c r="F56" s="275"/>
      <c r="G56" s="275"/>
      <c r="H56" s="275"/>
    </row>
    <row r="57" spans="1:8" ht="24.9" customHeight="1">
      <c r="A57" s="275"/>
      <c r="B57" s="855" t="s">
        <v>213</v>
      </c>
      <c r="C57" s="1021" t="s">
        <v>274</v>
      </c>
      <c r="D57" s="1021"/>
      <c r="E57" s="1021"/>
      <c r="F57" s="1021"/>
      <c r="G57" s="1021"/>
      <c r="H57" s="704"/>
    </row>
    <row r="58" spans="1:8" ht="15" customHeight="1">
      <c r="A58" s="275"/>
      <c r="B58" s="850" t="s">
        <v>214</v>
      </c>
      <c r="C58" s="1022" t="s">
        <v>215</v>
      </c>
      <c r="D58" s="1023"/>
      <c r="E58" s="1023"/>
      <c r="F58" s="1023"/>
      <c r="G58" s="1023"/>
      <c r="H58" s="275"/>
    </row>
    <row r="59" spans="1:8" ht="15" customHeight="1">
      <c r="A59" s="275"/>
      <c r="B59" s="855" t="s">
        <v>216</v>
      </c>
      <c r="C59" s="1021" t="s">
        <v>217</v>
      </c>
      <c r="D59" s="1021"/>
      <c r="E59" s="1021"/>
      <c r="F59" s="1021"/>
      <c r="G59" s="1021"/>
      <c r="H59" s="705"/>
    </row>
    <row r="60" spans="1:8" ht="18.899999999999999" customHeight="1">
      <c r="A60" s="275"/>
      <c r="B60" s="688"/>
      <c r="C60" s="275"/>
      <c r="D60" s="275"/>
      <c r="E60" s="275"/>
      <c r="F60" s="275"/>
      <c r="G60" s="275"/>
      <c r="H60" s="275"/>
    </row>
    <row r="61" spans="1:8" ht="30" customHeight="1" thickBot="1">
      <c r="A61" s="275"/>
      <c r="B61" s="700" t="s">
        <v>151</v>
      </c>
      <c r="C61" s="275"/>
      <c r="D61" s="275"/>
      <c r="E61" s="275"/>
      <c r="F61" s="275"/>
      <c r="G61" s="275"/>
      <c r="H61" s="275"/>
    </row>
    <row r="62" spans="1:8" ht="18.899999999999999" customHeight="1" thickTop="1">
      <c r="A62" s="275"/>
      <c r="B62" s="1015" t="str">
        <f>'Tab.G1.1-4'!$B$8</f>
        <v>LP</v>
      </c>
      <c r="C62" s="1017" t="str">
        <f>'Tab.G1.1-4'!$C$8</f>
        <v>Wyszczególnienie</v>
      </c>
      <c r="D62" s="1018"/>
      <c r="E62" s="679" t="str">
        <f>'Tab.G1.1-4'!$E$8</f>
        <v>Wykonanie</v>
      </c>
      <c r="F62" s="275"/>
      <c r="G62" s="275"/>
      <c r="H62" s="275"/>
    </row>
    <row r="63" spans="1:8" ht="18.899999999999999" customHeight="1">
      <c r="A63" s="275"/>
      <c r="B63" s="1016"/>
      <c r="C63" s="1019"/>
      <c r="D63" s="1020"/>
      <c r="E63" s="676">
        <f>Rok_ZPR</f>
        <v>2020</v>
      </c>
      <c r="F63" s="275"/>
      <c r="G63" s="275"/>
      <c r="H63" s="275"/>
    </row>
    <row r="64" spans="1:8" ht="14.1" customHeight="1" thickBot="1">
      <c r="A64" s="275"/>
      <c r="B64" s="677" t="str">
        <f t="array" ref="B64:B84">Tab.G17!$B$10:$B$30</f>
        <v>01</v>
      </c>
      <c r="C64" s="1013" t="str">
        <f>Tab.G17!$B$11</f>
        <v>02</v>
      </c>
      <c r="D64" s="1014"/>
      <c r="E64" s="667" t="str">
        <f>Tab.G17!$B$12</f>
        <v>03</v>
      </c>
      <c r="F64" s="275"/>
      <c r="G64" s="275"/>
      <c r="H64" s="275"/>
    </row>
    <row r="65" spans="1:8" ht="18.899999999999999" customHeight="1">
      <c r="A65" s="275"/>
      <c r="B65" s="707" t="str">
        <v>02</v>
      </c>
      <c r="C65" s="656" t="s">
        <v>152</v>
      </c>
      <c r="D65" s="657" t="str">
        <f>'Tab.G2.1-3'!$D$168</f>
        <v>[tys. zł/szt.]</v>
      </c>
      <c r="E65" s="706" t="str">
        <f t="array" ref="E65:E68">IFERROR($E$14:$E$17/E36:E39,"")</f>
        <v/>
      </c>
      <c r="F65" s="275"/>
      <c r="G65" s="275"/>
      <c r="H65" s="275"/>
    </row>
    <row r="66" spans="1:8" ht="18.899999999999999" customHeight="1">
      <c r="A66" s="275"/>
      <c r="B66" s="701" t="str">
        <v>03</v>
      </c>
      <c r="C66" s="296" t="s">
        <v>72</v>
      </c>
      <c r="D66" s="297" t="str">
        <f>'Tab.G2.1-3'!$D$168</f>
        <v>[tys. zł/szt.]</v>
      </c>
      <c r="E66" s="316" t="str">
        <v/>
      </c>
      <c r="F66" s="275"/>
      <c r="G66" s="275"/>
      <c r="H66" s="275"/>
    </row>
    <row r="67" spans="1:8" ht="18.899999999999999" customHeight="1">
      <c r="A67" s="275"/>
      <c r="B67" s="702" t="str">
        <v>04</v>
      </c>
      <c r="C67" s="298" t="s">
        <v>73</v>
      </c>
      <c r="D67" s="299" t="str">
        <f>'Tab.G2.1-3'!$D$168</f>
        <v>[tys. zł/szt.]</v>
      </c>
      <c r="E67" s="317" t="str">
        <v/>
      </c>
      <c r="F67" s="275"/>
      <c r="G67" s="275"/>
      <c r="H67" s="275"/>
    </row>
    <row r="68" spans="1:8" ht="18.899999999999999" customHeight="1" thickBot="1">
      <c r="A68" s="275"/>
      <c r="B68" s="703" t="str">
        <v>05</v>
      </c>
      <c r="C68" s="300" t="s">
        <v>74</v>
      </c>
      <c r="D68" s="301" t="str">
        <f>'Tab.G2.1-3'!$D$168</f>
        <v>[tys. zł/szt.]</v>
      </c>
      <c r="E68" s="318" t="str">
        <v/>
      </c>
      <c r="F68" s="275"/>
      <c r="G68" s="275"/>
      <c r="H68" s="275"/>
    </row>
    <row r="69" spans="1:8" ht="18.899999999999999" customHeight="1">
      <c r="A69" s="275"/>
      <c r="B69" s="659" t="str">
        <v>06</v>
      </c>
      <c r="C69" s="310" t="s">
        <v>153</v>
      </c>
      <c r="D69" s="311" t="str">
        <f>'Tab.G2.1-3'!$D$134</f>
        <v>[tys. zł/km]</v>
      </c>
      <c r="E69" s="319" t="str">
        <f t="array" ref="E69:E72">IFERROR($E$14:$E$17/E40:E43,"")</f>
        <v/>
      </c>
      <c r="F69" s="275"/>
      <c r="G69" s="275"/>
      <c r="H69" s="275"/>
    </row>
    <row r="70" spans="1:8" ht="18.899999999999999" customHeight="1">
      <c r="A70" s="275"/>
      <c r="B70" s="701" t="str">
        <v>07</v>
      </c>
      <c r="C70" s="296" t="s">
        <v>72</v>
      </c>
      <c r="D70" s="297" t="str">
        <f>'Tab.G2.1-3'!$D$134</f>
        <v>[tys. zł/km]</v>
      </c>
      <c r="E70" s="316" t="str">
        <v/>
      </c>
      <c r="F70" s="275"/>
      <c r="G70" s="275"/>
      <c r="H70" s="275"/>
    </row>
    <row r="71" spans="1:8" ht="18.899999999999999" customHeight="1">
      <c r="A71" s="275"/>
      <c r="B71" s="702" t="str">
        <v>08</v>
      </c>
      <c r="C71" s="298" t="s">
        <v>73</v>
      </c>
      <c r="D71" s="299" t="str">
        <f>'Tab.G2.1-3'!$D$134</f>
        <v>[tys. zł/km]</v>
      </c>
      <c r="E71" s="317" t="str">
        <v/>
      </c>
      <c r="F71" s="275"/>
      <c r="G71" s="275"/>
      <c r="H71" s="275"/>
    </row>
    <row r="72" spans="1:8" ht="18.899999999999999" customHeight="1" thickBot="1">
      <c r="A72" s="275"/>
      <c r="B72" s="664" t="str">
        <v>09</v>
      </c>
      <c r="C72" s="302" t="s">
        <v>74</v>
      </c>
      <c r="D72" s="303" t="str">
        <f>'Tab.G2.1-3'!$D$134</f>
        <v>[tys. zł/km]</v>
      </c>
      <c r="E72" s="320" t="str">
        <v/>
      </c>
      <c r="F72" s="275"/>
      <c r="G72" s="275"/>
      <c r="H72" s="275"/>
    </row>
    <row r="73" spans="1:8" ht="18.899999999999999" customHeight="1">
      <c r="A73" s="275"/>
      <c r="B73" s="659" t="str">
        <v>10</v>
      </c>
      <c r="C73" s="310" t="s">
        <v>154</v>
      </c>
      <c r="D73" s="311" t="str">
        <f>'Tab.G2.1-3'!$D$168</f>
        <v>[tys. zł/szt.]</v>
      </c>
      <c r="E73" s="319" t="str">
        <f t="array" ref="E73:E76">IFERROR($E$14:$E$17/E44:E47,"")</f>
        <v/>
      </c>
      <c r="F73" s="275"/>
      <c r="G73" s="275"/>
      <c r="H73" s="275"/>
    </row>
    <row r="74" spans="1:8" ht="18.899999999999999" customHeight="1">
      <c r="A74" s="275"/>
      <c r="B74" s="701" t="str">
        <v>11</v>
      </c>
      <c r="C74" s="296" t="s">
        <v>72</v>
      </c>
      <c r="D74" s="297" t="str">
        <f>'Tab.G2.1-3'!$D$168</f>
        <v>[tys. zł/szt.]</v>
      </c>
      <c r="E74" s="316" t="str">
        <v/>
      </c>
      <c r="F74" s="275"/>
      <c r="G74" s="275"/>
      <c r="H74" s="275"/>
    </row>
    <row r="75" spans="1:8" ht="18.899999999999999" customHeight="1">
      <c r="A75" s="275"/>
      <c r="B75" s="702" t="str">
        <v>12</v>
      </c>
      <c r="C75" s="298" t="s">
        <v>73</v>
      </c>
      <c r="D75" s="299" t="str">
        <f>'Tab.G2.1-3'!$D$168</f>
        <v>[tys. zł/szt.]</v>
      </c>
      <c r="E75" s="317" t="str">
        <v/>
      </c>
      <c r="F75" s="275"/>
      <c r="G75" s="275"/>
      <c r="H75" s="275"/>
    </row>
    <row r="76" spans="1:8" ht="18.899999999999999" customHeight="1" thickBot="1">
      <c r="A76" s="275"/>
      <c r="B76" s="664" t="str">
        <v>13</v>
      </c>
      <c r="C76" s="302" t="s">
        <v>74</v>
      </c>
      <c r="D76" s="303" t="str">
        <f>'Tab.G2.1-3'!$D$168</f>
        <v>[tys. zł/szt.]</v>
      </c>
      <c r="E76" s="320" t="str">
        <v/>
      </c>
      <c r="F76" s="275"/>
      <c r="G76" s="275"/>
      <c r="H76" s="275"/>
    </row>
    <row r="77" spans="1:8" ht="18.899999999999999" customHeight="1">
      <c r="A77" s="275"/>
      <c r="B77" s="659" t="str">
        <v>14</v>
      </c>
      <c r="C77" s="310" t="s">
        <v>155</v>
      </c>
      <c r="D77" s="311" t="str">
        <f>"[tys. zł/(m³/h)]"</f>
        <v>[tys. zł/(m³/h)]</v>
      </c>
      <c r="E77" s="319" t="str">
        <f t="array" ref="E77:E80">IFERROR($E$14:$E$17/E48:E51,"")</f>
        <v/>
      </c>
      <c r="F77" s="275"/>
      <c r="G77" s="275"/>
      <c r="H77" s="275"/>
    </row>
    <row r="78" spans="1:8" ht="18.899999999999999" customHeight="1">
      <c r="A78" s="275"/>
      <c r="B78" s="701" t="str">
        <v>15</v>
      </c>
      <c r="C78" s="296" t="s">
        <v>72</v>
      </c>
      <c r="D78" s="297" t="str">
        <f t="shared" ref="D78:D84" si="1">$D$77</f>
        <v>[tys. zł/(m³/h)]</v>
      </c>
      <c r="E78" s="316" t="str">
        <v/>
      </c>
      <c r="F78" s="275"/>
      <c r="G78" s="275"/>
      <c r="H78" s="275"/>
    </row>
    <row r="79" spans="1:8" ht="18.899999999999999" customHeight="1">
      <c r="A79" s="275"/>
      <c r="B79" s="702" t="str">
        <v>16</v>
      </c>
      <c r="C79" s="298" t="s">
        <v>73</v>
      </c>
      <c r="D79" s="299" t="str">
        <f t="shared" si="1"/>
        <v>[tys. zł/(m³/h)]</v>
      </c>
      <c r="E79" s="317" t="str">
        <v/>
      </c>
      <c r="F79" s="275"/>
      <c r="G79" s="275"/>
      <c r="H79" s="275"/>
    </row>
    <row r="80" spans="1:8" ht="18.899999999999999" customHeight="1" thickBot="1">
      <c r="A80" s="275"/>
      <c r="B80" s="664" t="str">
        <v>17</v>
      </c>
      <c r="C80" s="302" t="s">
        <v>74</v>
      </c>
      <c r="D80" s="303" t="str">
        <f t="shared" si="1"/>
        <v>[tys. zł/(m³/h)]</v>
      </c>
      <c r="E80" s="320" t="str">
        <v/>
      </c>
      <c r="F80" s="275"/>
      <c r="G80" s="275"/>
      <c r="H80" s="275"/>
    </row>
    <row r="81" spans="1:8" ht="18.899999999999999" customHeight="1">
      <c r="A81" s="275"/>
      <c r="B81" s="659" t="str">
        <v>18</v>
      </c>
      <c r="C81" s="310" t="s">
        <v>156</v>
      </c>
      <c r="D81" s="311" t="str">
        <f t="shared" si="1"/>
        <v>[tys. zł/(m³/h)]</v>
      </c>
      <c r="E81" s="319" t="str">
        <f t="array" ref="E81:E84">IFERROR($E$14:$E$17/E52:E55,"")</f>
        <v/>
      </c>
      <c r="F81" s="275"/>
      <c r="G81" s="275"/>
      <c r="H81" s="275"/>
    </row>
    <row r="82" spans="1:8" ht="18.899999999999999" customHeight="1">
      <c r="A82" s="275"/>
      <c r="B82" s="701" t="str">
        <v>19</v>
      </c>
      <c r="C82" s="296" t="s">
        <v>72</v>
      </c>
      <c r="D82" s="297" t="str">
        <f t="shared" si="1"/>
        <v>[tys. zł/(m³/h)]</v>
      </c>
      <c r="E82" s="316" t="str">
        <v/>
      </c>
      <c r="F82" s="275"/>
      <c r="G82" s="275"/>
      <c r="H82" s="275"/>
    </row>
    <row r="83" spans="1:8" ht="18.899999999999999" customHeight="1">
      <c r="A83" s="275"/>
      <c r="B83" s="702" t="str">
        <v>20</v>
      </c>
      <c r="C83" s="298" t="s">
        <v>73</v>
      </c>
      <c r="D83" s="299" t="str">
        <f t="shared" si="1"/>
        <v>[tys. zł/(m³/h)]</v>
      </c>
      <c r="E83" s="317" t="str">
        <v/>
      </c>
      <c r="F83" s="275"/>
      <c r="G83" s="275"/>
      <c r="H83" s="275"/>
    </row>
    <row r="84" spans="1:8" ht="18.899999999999999" customHeight="1" thickBot="1">
      <c r="A84" s="275"/>
      <c r="B84" s="666" t="str">
        <v>21</v>
      </c>
      <c r="C84" s="313" t="s">
        <v>74</v>
      </c>
      <c r="D84" s="314" t="str">
        <f t="shared" si="1"/>
        <v>[tys. zł/(m³/h)]</v>
      </c>
      <c r="E84" s="708" t="str">
        <v/>
      </c>
      <c r="F84" s="275"/>
      <c r="G84" s="275"/>
      <c r="H84" s="275"/>
    </row>
    <row r="85" spans="1:8" ht="18.899999999999999" customHeight="1" thickTop="1">
      <c r="A85" s="275"/>
      <c r="B85" s="688"/>
      <c r="C85" s="275"/>
      <c r="D85" s="275"/>
      <c r="E85" s="275"/>
      <c r="F85" s="275"/>
      <c r="G85" s="275"/>
      <c r="H85" s="275"/>
    </row>
    <row r="86" spans="1:8" ht="18.899999999999999" customHeight="1">
      <c r="A86" s="275"/>
      <c r="B86" s="688"/>
      <c r="C86" s="275"/>
      <c r="D86" s="275"/>
      <c r="E86" s="275"/>
      <c r="F86" s="275"/>
      <c r="G86" s="275"/>
      <c r="H86" s="275"/>
    </row>
    <row r="87" spans="1:8" ht="30" customHeight="1" thickBot="1">
      <c r="A87" s="275"/>
      <c r="B87" s="700" t="s">
        <v>150</v>
      </c>
      <c r="C87" s="275"/>
      <c r="D87" s="275"/>
      <c r="E87" s="275"/>
      <c r="F87" s="275"/>
      <c r="G87" s="275"/>
      <c r="H87" s="275"/>
    </row>
    <row r="88" spans="1:8" ht="18.899999999999999" customHeight="1" thickTop="1">
      <c r="A88" s="275"/>
      <c r="B88" s="1015" t="str">
        <f>'Tab.G1.1-4'!$B$8</f>
        <v>LP</v>
      </c>
      <c r="C88" s="1017" t="str">
        <f>'Tab.G1.1-4'!$C$8</f>
        <v>Wyszczególnienie</v>
      </c>
      <c r="D88" s="1018"/>
      <c r="E88" s="679" t="str">
        <f>'Tab.G1.1-4'!$E$8</f>
        <v>Wykonanie</v>
      </c>
      <c r="F88" s="275"/>
      <c r="G88" s="275"/>
      <c r="H88" s="275"/>
    </row>
    <row r="89" spans="1:8" ht="18.899999999999999" customHeight="1">
      <c r="A89" s="275"/>
      <c r="B89" s="1016"/>
      <c r="C89" s="1019"/>
      <c r="D89" s="1020"/>
      <c r="E89" s="676">
        <f>Rok_ZPR</f>
        <v>2020</v>
      </c>
      <c r="F89" s="275"/>
      <c r="G89" s="275"/>
      <c r="H89" s="275"/>
    </row>
    <row r="90" spans="1:8" ht="14.1" customHeight="1" thickBot="1">
      <c r="A90" s="275"/>
      <c r="B90" s="677" t="str">
        <f t="array" ref="B90:B110">Tab.G17!$B$10:$B$30</f>
        <v>01</v>
      </c>
      <c r="C90" s="1013" t="str">
        <f>Tab.G17!$B$11</f>
        <v>02</v>
      </c>
      <c r="D90" s="1014"/>
      <c r="E90" s="667" t="str">
        <f>Tab.G17!$B$12</f>
        <v>03</v>
      </c>
      <c r="F90" s="275"/>
      <c r="G90" s="275"/>
      <c r="H90" s="275"/>
    </row>
    <row r="91" spans="1:8" ht="18.899999999999999" customHeight="1">
      <c r="A91" s="275"/>
      <c r="B91" s="707" t="str">
        <v>02</v>
      </c>
      <c r="C91" s="656" t="s">
        <v>146</v>
      </c>
      <c r="D91" s="657" t="str">
        <f>'Tab.G2.1-3'!$D$168</f>
        <v>[tys. zł/szt.]</v>
      </c>
      <c r="E91" s="658" t="str">
        <f t="array" ref="E91:E94">IFERROR($E$25:$E$28/E36:E39,"")</f>
        <v/>
      </c>
      <c r="F91" s="275"/>
      <c r="G91" s="275"/>
      <c r="H91" s="275"/>
    </row>
    <row r="92" spans="1:8" ht="18.899999999999999" customHeight="1">
      <c r="A92" s="275"/>
      <c r="B92" s="701" t="str">
        <v>03</v>
      </c>
      <c r="C92" s="296" t="s">
        <v>72</v>
      </c>
      <c r="D92" s="297" t="str">
        <f>'Tab.G2.1-3'!$D$168</f>
        <v>[tys. zł/szt.]</v>
      </c>
      <c r="E92" s="306" t="str">
        <v/>
      </c>
      <c r="F92" s="275"/>
      <c r="G92" s="275"/>
      <c r="H92" s="275"/>
    </row>
    <row r="93" spans="1:8" ht="18.899999999999999" customHeight="1">
      <c r="A93" s="275"/>
      <c r="B93" s="702" t="str">
        <v>04</v>
      </c>
      <c r="C93" s="298" t="s">
        <v>73</v>
      </c>
      <c r="D93" s="299" t="str">
        <f>'Tab.G2.1-3'!$D$168</f>
        <v>[tys. zł/szt.]</v>
      </c>
      <c r="E93" s="307" t="str">
        <v/>
      </c>
      <c r="F93" s="275"/>
      <c r="G93" s="275"/>
      <c r="H93" s="275"/>
    </row>
    <row r="94" spans="1:8" ht="18.899999999999999" customHeight="1" thickBot="1">
      <c r="A94" s="275"/>
      <c r="B94" s="703" t="str">
        <v>05</v>
      </c>
      <c r="C94" s="300" t="s">
        <v>74</v>
      </c>
      <c r="D94" s="301" t="str">
        <f>'Tab.G2.1-3'!$D$168</f>
        <v>[tys. zł/szt.]</v>
      </c>
      <c r="E94" s="308" t="str">
        <v/>
      </c>
      <c r="F94" s="275"/>
      <c r="G94" s="275"/>
      <c r="H94" s="275"/>
    </row>
    <row r="95" spans="1:8" ht="18.899999999999999" customHeight="1">
      <c r="A95" s="275"/>
      <c r="B95" s="659" t="str">
        <v>06</v>
      </c>
      <c r="C95" s="310" t="s">
        <v>145</v>
      </c>
      <c r="D95" s="311" t="str">
        <f>'Tab.G2.1-3'!$D$134</f>
        <v>[tys. zł/km]</v>
      </c>
      <c r="E95" s="312" t="str">
        <f t="array" ref="E95:E98">IFERROR($E$25:$E$28/E40:E43,"")</f>
        <v/>
      </c>
      <c r="F95" s="275"/>
      <c r="G95" s="275"/>
      <c r="H95" s="275"/>
    </row>
    <row r="96" spans="1:8" ht="18.899999999999999" customHeight="1">
      <c r="A96" s="275"/>
      <c r="B96" s="701" t="str">
        <v>07</v>
      </c>
      <c r="C96" s="296" t="s">
        <v>72</v>
      </c>
      <c r="D96" s="297" t="str">
        <f>'Tab.G2.1-3'!$D$134</f>
        <v>[tys. zł/km]</v>
      </c>
      <c r="E96" s="306" t="str">
        <v/>
      </c>
      <c r="F96" s="275"/>
      <c r="G96" s="275"/>
      <c r="H96" s="275"/>
    </row>
    <row r="97" spans="1:8" ht="18.899999999999999" customHeight="1">
      <c r="A97" s="275"/>
      <c r="B97" s="702" t="str">
        <v>08</v>
      </c>
      <c r="C97" s="298" t="s">
        <v>73</v>
      </c>
      <c r="D97" s="299" t="str">
        <f>'Tab.G2.1-3'!$D$134</f>
        <v>[tys. zł/km]</v>
      </c>
      <c r="E97" s="307" t="str">
        <v/>
      </c>
      <c r="F97" s="275"/>
      <c r="G97" s="275"/>
      <c r="H97" s="275"/>
    </row>
    <row r="98" spans="1:8" ht="18.899999999999999" customHeight="1" thickBot="1">
      <c r="A98" s="275"/>
      <c r="B98" s="664" t="str">
        <v>09</v>
      </c>
      <c r="C98" s="302" t="s">
        <v>74</v>
      </c>
      <c r="D98" s="303" t="str">
        <f>'Tab.G2.1-3'!$D$134</f>
        <v>[tys. zł/km]</v>
      </c>
      <c r="E98" s="309" t="str">
        <v/>
      </c>
      <c r="F98" s="275"/>
      <c r="G98" s="275"/>
      <c r="H98" s="275"/>
    </row>
    <row r="99" spans="1:8" ht="18.899999999999999" customHeight="1">
      <c r="A99" s="275"/>
      <c r="B99" s="659" t="str">
        <v>10</v>
      </c>
      <c r="C99" s="310" t="s">
        <v>147</v>
      </c>
      <c r="D99" s="311" t="str">
        <f>'Tab.G2.1-3'!$D$168</f>
        <v>[tys. zł/szt.]</v>
      </c>
      <c r="E99" s="312" t="str">
        <f t="array" ref="E99:E102">IFERROR($E$25:$E$28/E44:E47,"")</f>
        <v/>
      </c>
      <c r="F99" s="275"/>
      <c r="G99" s="275"/>
      <c r="H99" s="275"/>
    </row>
    <row r="100" spans="1:8" ht="18.899999999999999" customHeight="1">
      <c r="A100" s="275"/>
      <c r="B100" s="701" t="str">
        <v>11</v>
      </c>
      <c r="C100" s="296" t="s">
        <v>72</v>
      </c>
      <c r="D100" s="297" t="str">
        <f>'Tab.G2.1-3'!$D$168</f>
        <v>[tys. zł/szt.]</v>
      </c>
      <c r="E100" s="306" t="str">
        <v/>
      </c>
      <c r="F100" s="275"/>
      <c r="G100" s="275"/>
      <c r="H100" s="275"/>
    </row>
    <row r="101" spans="1:8" ht="18.899999999999999" customHeight="1">
      <c r="A101" s="275"/>
      <c r="B101" s="702" t="str">
        <v>12</v>
      </c>
      <c r="C101" s="298" t="s">
        <v>73</v>
      </c>
      <c r="D101" s="299" t="str">
        <f>'Tab.G2.1-3'!$D$168</f>
        <v>[tys. zł/szt.]</v>
      </c>
      <c r="E101" s="307" t="str">
        <v/>
      </c>
      <c r="F101" s="275"/>
      <c r="G101" s="275"/>
      <c r="H101" s="275"/>
    </row>
    <row r="102" spans="1:8" ht="18.899999999999999" customHeight="1" thickBot="1">
      <c r="A102" s="275"/>
      <c r="B102" s="664" t="str">
        <v>13</v>
      </c>
      <c r="C102" s="302" t="s">
        <v>74</v>
      </c>
      <c r="D102" s="303" t="str">
        <f>'Tab.G2.1-3'!$D$168</f>
        <v>[tys. zł/szt.]</v>
      </c>
      <c r="E102" s="309" t="str">
        <v/>
      </c>
      <c r="F102" s="275"/>
      <c r="G102" s="275"/>
      <c r="H102" s="275"/>
    </row>
    <row r="103" spans="1:8" ht="18.899999999999999" customHeight="1">
      <c r="A103" s="275"/>
      <c r="B103" s="659" t="str">
        <v>14</v>
      </c>
      <c r="C103" s="310" t="s">
        <v>148</v>
      </c>
      <c r="D103" s="311" t="str">
        <f t="shared" ref="D103:D110" si="2">$D$77</f>
        <v>[tys. zł/(m³/h)]</v>
      </c>
      <c r="E103" s="312" t="str">
        <f t="array" ref="E103:E106">IFERROR($E$25:$E$28/E48:E51,"")</f>
        <v/>
      </c>
      <c r="F103" s="275"/>
      <c r="G103" s="275"/>
      <c r="H103" s="275"/>
    </row>
    <row r="104" spans="1:8" ht="18.899999999999999" customHeight="1">
      <c r="A104" s="275"/>
      <c r="B104" s="701" t="str">
        <v>15</v>
      </c>
      <c r="C104" s="296" t="s">
        <v>72</v>
      </c>
      <c r="D104" s="297" t="str">
        <f t="shared" si="2"/>
        <v>[tys. zł/(m³/h)]</v>
      </c>
      <c r="E104" s="306" t="str">
        <v/>
      </c>
      <c r="F104" s="275"/>
      <c r="G104" s="275"/>
      <c r="H104" s="275"/>
    </row>
    <row r="105" spans="1:8" ht="18.899999999999999" customHeight="1">
      <c r="A105" s="275"/>
      <c r="B105" s="702" t="str">
        <v>16</v>
      </c>
      <c r="C105" s="298" t="s">
        <v>73</v>
      </c>
      <c r="D105" s="299" t="str">
        <f t="shared" si="2"/>
        <v>[tys. zł/(m³/h)]</v>
      </c>
      <c r="E105" s="307" t="str">
        <v/>
      </c>
      <c r="F105" s="275"/>
      <c r="G105" s="275"/>
      <c r="H105" s="275"/>
    </row>
    <row r="106" spans="1:8" ht="18.899999999999999" customHeight="1" thickBot="1">
      <c r="A106" s="275"/>
      <c r="B106" s="664" t="str">
        <v>17</v>
      </c>
      <c r="C106" s="302" t="s">
        <v>74</v>
      </c>
      <c r="D106" s="303" t="str">
        <f t="shared" si="2"/>
        <v>[tys. zł/(m³/h)]</v>
      </c>
      <c r="E106" s="309" t="str">
        <v/>
      </c>
      <c r="F106" s="275"/>
      <c r="G106" s="275"/>
      <c r="H106" s="275"/>
    </row>
    <row r="107" spans="1:8" ht="18.899999999999999" customHeight="1">
      <c r="A107" s="275"/>
      <c r="B107" s="659" t="str">
        <v>18</v>
      </c>
      <c r="C107" s="310" t="s">
        <v>149</v>
      </c>
      <c r="D107" s="311" t="str">
        <f t="shared" si="2"/>
        <v>[tys. zł/(m³/h)]</v>
      </c>
      <c r="E107" s="312" t="str">
        <f t="array" ref="E107:E110">IFERROR($E$25:$E$28/E52:E55,"")</f>
        <v/>
      </c>
      <c r="F107" s="275"/>
      <c r="G107" s="275"/>
      <c r="H107" s="275"/>
    </row>
    <row r="108" spans="1:8" ht="18.899999999999999" customHeight="1">
      <c r="A108" s="275"/>
      <c r="B108" s="701" t="str">
        <v>19</v>
      </c>
      <c r="C108" s="296" t="s">
        <v>72</v>
      </c>
      <c r="D108" s="297" t="str">
        <f t="shared" si="2"/>
        <v>[tys. zł/(m³/h)]</v>
      </c>
      <c r="E108" s="306" t="str">
        <v/>
      </c>
      <c r="F108" s="275"/>
      <c r="G108" s="275"/>
      <c r="H108" s="275"/>
    </row>
    <row r="109" spans="1:8" ht="18.899999999999999" customHeight="1">
      <c r="A109" s="275"/>
      <c r="B109" s="702" t="str">
        <v>20</v>
      </c>
      <c r="C109" s="298" t="s">
        <v>73</v>
      </c>
      <c r="D109" s="299" t="str">
        <f t="shared" si="2"/>
        <v>[tys. zł/(m³/h)]</v>
      </c>
      <c r="E109" s="307" t="str">
        <v/>
      </c>
      <c r="F109" s="275"/>
      <c r="G109" s="275"/>
      <c r="H109" s="275"/>
    </row>
    <row r="110" spans="1:8" ht="18.899999999999999" customHeight="1" thickBot="1">
      <c r="A110" s="275"/>
      <c r="B110" s="666" t="str">
        <v>21</v>
      </c>
      <c r="C110" s="313" t="s">
        <v>74</v>
      </c>
      <c r="D110" s="314" t="str">
        <f t="shared" si="2"/>
        <v>[tys. zł/(m³/h)]</v>
      </c>
      <c r="E110" s="315" t="str">
        <v/>
      </c>
      <c r="F110" s="275"/>
      <c r="G110" s="275"/>
      <c r="H110" s="275"/>
    </row>
    <row r="111" spans="1:8" ht="18.899999999999999" customHeight="1" thickTop="1">
      <c r="A111" s="275"/>
      <c r="B111" s="688"/>
      <c r="C111" s="275"/>
      <c r="D111" s="275"/>
      <c r="E111" s="275"/>
      <c r="F111" s="275"/>
      <c r="G111" s="275"/>
      <c r="H111" s="275"/>
    </row>
    <row r="112" spans="1:8" ht="18.899999999999999" customHeight="1">
      <c r="A112" s="275"/>
      <c r="B112" s="688"/>
      <c r="C112" s="275"/>
      <c r="D112" s="275"/>
      <c r="E112" s="275"/>
      <c r="F112" s="275"/>
      <c r="G112" s="275"/>
      <c r="H112" s="275"/>
    </row>
  </sheetData>
  <mergeCells count="24">
    <mergeCell ref="C11:D12"/>
    <mergeCell ref="C13:D13"/>
    <mergeCell ref="B11:B12"/>
    <mergeCell ref="C5:G5"/>
    <mergeCell ref="C4:G4"/>
    <mergeCell ref="C6:G6"/>
    <mergeCell ref="C7:G7"/>
    <mergeCell ref="C8:G8"/>
    <mergeCell ref="C9:G9"/>
    <mergeCell ref="B22:B23"/>
    <mergeCell ref="C22:D23"/>
    <mergeCell ref="B33:B34"/>
    <mergeCell ref="C33:D34"/>
    <mergeCell ref="C24:D24"/>
    <mergeCell ref="C35:D35"/>
    <mergeCell ref="B88:B89"/>
    <mergeCell ref="C88:D89"/>
    <mergeCell ref="C90:D90"/>
    <mergeCell ref="B62:B63"/>
    <mergeCell ref="C62:D63"/>
    <mergeCell ref="C64:D64"/>
    <mergeCell ref="C57:G57"/>
    <mergeCell ref="C58:G58"/>
    <mergeCell ref="C59:G59"/>
  </mergeCells>
  <phoneticPr fontId="0" type="noConversion"/>
  <hyperlinks>
    <hyperlink ref="C2" location="Spis!B16" display="&gt;&gt; powrót do spisu treści" xr:uid="{00000000-0004-0000-05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14">
    <pageSetUpPr fitToPage="1"/>
  </sheetPr>
  <dimension ref="A1:Z112"/>
  <sheetViews>
    <sheetView zoomScale="90" zoomScaleNormal="90" zoomScaleSheetLayoutView="75" workbookViewId="0">
      <pane ySplit="9" topLeftCell="A115" activePane="bottomLeft" state="frozen"/>
      <selection pane="bottomLeft" activeCell="E29" sqref="E29"/>
    </sheetView>
  </sheetViews>
  <sheetFormatPr defaultColWidth="11.36328125" defaultRowHeight="13.2"/>
  <cols>
    <col min="1" max="1" width="3.81640625" style="207" customWidth="1"/>
    <col min="2" max="2" width="4.81640625" style="284" customWidth="1"/>
    <col min="3" max="3" width="66.81640625" style="207" customWidth="1"/>
    <col min="4" max="4" width="12.81640625" style="207" customWidth="1"/>
    <col min="5" max="5" width="15.81640625" style="207" customWidth="1"/>
    <col min="6" max="9" width="10.81640625" style="207" customWidth="1"/>
    <col min="10" max="10" width="15.6328125" style="207" customWidth="1"/>
    <col min="11" max="11" width="11.36328125" style="273"/>
    <col min="12" max="16384" width="11.36328125" style="207"/>
  </cols>
  <sheetData>
    <row r="1" spans="1:12" ht="14.1" customHeight="1">
      <c r="A1" s="273"/>
      <c r="B1" s="275"/>
      <c r="C1" s="275"/>
      <c r="D1" s="275"/>
      <c r="E1" s="275"/>
      <c r="F1" s="275"/>
      <c r="G1" s="275"/>
      <c r="H1" s="275"/>
      <c r="I1" s="273"/>
      <c r="J1" s="273"/>
    </row>
    <row r="2" spans="1:12" ht="18.899999999999999" customHeight="1">
      <c r="A2" s="273"/>
      <c r="B2" s="275"/>
      <c r="C2" s="944" t="s">
        <v>10</v>
      </c>
      <c r="D2" s="275"/>
      <c r="E2" s="275"/>
      <c r="F2" s="275"/>
      <c r="G2" s="275"/>
      <c r="H2" s="275"/>
      <c r="I2" s="273"/>
      <c r="J2" s="273"/>
    </row>
    <row r="3" spans="1:12" ht="9.9" customHeight="1">
      <c r="A3" s="274"/>
      <c r="B3" s="835"/>
      <c r="C3" s="275"/>
      <c r="D3" s="835"/>
      <c r="E3" s="835"/>
      <c r="F3" s="275"/>
      <c r="G3" s="685"/>
      <c r="H3" s="685"/>
      <c r="I3" s="274"/>
      <c r="J3" s="274"/>
    </row>
    <row r="4" spans="1:12" ht="24.9" customHeight="1">
      <c r="A4" s="274"/>
      <c r="B4" s="850" t="s">
        <v>14</v>
      </c>
      <c r="C4" s="1007" t="s">
        <v>276</v>
      </c>
      <c r="D4" s="1021"/>
      <c r="E4" s="1021"/>
      <c r="F4" s="1021"/>
      <c r="G4" s="1021"/>
      <c r="H4" s="687"/>
      <c r="I4" s="683"/>
      <c r="J4" s="683"/>
      <c r="K4" s="683"/>
      <c r="L4" s="148"/>
    </row>
    <row r="5" spans="1:12" ht="24.9" customHeight="1">
      <c r="A5" s="274"/>
      <c r="B5" s="850" t="s">
        <v>29</v>
      </c>
      <c r="C5" s="1007" t="s">
        <v>270</v>
      </c>
      <c r="D5" s="1008"/>
      <c r="E5" s="1008"/>
      <c r="F5" s="1008"/>
      <c r="G5" s="1008"/>
      <c r="H5" s="687"/>
      <c r="I5" s="682"/>
      <c r="J5" s="682"/>
      <c r="K5" s="682"/>
      <c r="L5" s="836"/>
    </row>
    <row r="6" spans="1:12" ht="15" customHeight="1">
      <c r="A6" s="274"/>
      <c r="B6" s="688"/>
      <c r="C6" s="1034" t="s">
        <v>18</v>
      </c>
      <c r="D6" s="1035"/>
      <c r="E6" s="1035"/>
      <c r="F6" s="1035"/>
      <c r="G6" s="1035"/>
      <c r="H6" s="275"/>
      <c r="I6" s="273"/>
      <c r="J6" s="273"/>
    </row>
    <row r="7" spans="1:12" ht="15" customHeight="1">
      <c r="A7" s="274"/>
      <c r="B7" s="689"/>
      <c r="C7" s="1036" t="s">
        <v>277</v>
      </c>
      <c r="D7" s="1036"/>
      <c r="E7" s="1036"/>
      <c r="F7" s="1036"/>
      <c r="G7" s="1036"/>
      <c r="H7" s="690"/>
      <c r="I7" s="148"/>
      <c r="J7" s="148"/>
    </row>
    <row r="8" spans="1:12" ht="24.9" customHeight="1">
      <c r="A8" s="274"/>
      <c r="B8" s="689"/>
      <c r="C8" s="1036" t="s">
        <v>279</v>
      </c>
      <c r="D8" s="1036"/>
      <c r="E8" s="1036"/>
      <c r="F8" s="1036"/>
      <c r="G8" s="1036"/>
      <c r="H8" s="690"/>
      <c r="I8" s="148"/>
      <c r="J8" s="148"/>
    </row>
    <row r="9" spans="1:12" ht="24.9" customHeight="1">
      <c r="A9" s="274"/>
      <c r="B9" s="689"/>
      <c r="C9" s="1036" t="s">
        <v>278</v>
      </c>
      <c r="D9" s="1036"/>
      <c r="E9" s="1036"/>
      <c r="F9" s="1036"/>
      <c r="G9" s="1036"/>
      <c r="H9" s="690"/>
      <c r="I9" s="148"/>
      <c r="J9" s="148"/>
    </row>
    <row r="10" spans="1:12" ht="30" customHeight="1" thickBot="1">
      <c r="A10" s="202"/>
      <c r="B10" s="202" t="s">
        <v>245</v>
      </c>
      <c r="C10" s="276"/>
      <c r="D10" s="276"/>
      <c r="E10" s="273"/>
      <c r="F10" s="275"/>
      <c r="G10" s="275"/>
      <c r="H10" s="273"/>
      <c r="I10" s="273"/>
      <c r="J10" s="273"/>
    </row>
    <row r="11" spans="1:12" ht="18.899999999999999" customHeight="1" thickTop="1">
      <c r="A11" s="202"/>
      <c r="B11" s="1032" t="str">
        <f>'Tab.G1.1-4'!$B$8</f>
        <v>LP</v>
      </c>
      <c r="C11" s="1030" t="str">
        <f>'Tab.G1.1-4'!$C$8</f>
        <v>Wyszczególnienie</v>
      </c>
      <c r="D11" s="1031"/>
      <c r="E11" s="653" t="str">
        <f>'Tab.G1.1-4'!$E$8</f>
        <v>Wykonanie</v>
      </c>
      <c r="F11" s="277"/>
      <c r="G11" s="277"/>
      <c r="H11" s="273"/>
      <c r="I11" s="273"/>
      <c r="J11" s="273"/>
    </row>
    <row r="12" spans="1:12" ht="18.899999999999999" customHeight="1">
      <c r="A12" s="202"/>
      <c r="B12" s="1033"/>
      <c r="C12" s="1004"/>
      <c r="D12" s="1001"/>
      <c r="E12" s="548">
        <f>Rok_ZPR</f>
        <v>2020</v>
      </c>
      <c r="F12" s="277"/>
      <c r="G12" s="277"/>
      <c r="H12" s="273"/>
      <c r="I12" s="273"/>
      <c r="J12" s="273"/>
    </row>
    <row r="13" spans="1:12" ht="14.1" customHeight="1" thickBot="1">
      <c r="A13" s="273"/>
      <c r="B13" s="652" t="str">
        <f t="array" ref="B13:B17">Tab.G17!$B$10:$B$14</f>
        <v>01</v>
      </c>
      <c r="C13" s="1013" t="str">
        <f>Tab.G17!$B$11</f>
        <v>02</v>
      </c>
      <c r="D13" s="1014"/>
      <c r="E13" s="667" t="str">
        <f>Tab.G17!$B$12</f>
        <v>03</v>
      </c>
      <c r="F13" s="277"/>
      <c r="G13" s="277"/>
      <c r="H13" s="273"/>
      <c r="I13" s="273"/>
      <c r="J13" s="273"/>
    </row>
    <row r="14" spans="1:12" ht="18.899999999999999"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899999999999999" customHeight="1">
      <c r="A15" s="273"/>
      <c r="B15" s="668" t="str">
        <v>03</v>
      </c>
      <c r="C15" s="681" t="s">
        <v>72</v>
      </c>
      <c r="D15" s="670" t="str">
        <f>'Tab.G1.1-4'!$D$11</f>
        <v>[tys. zł]</v>
      </c>
      <c r="E15" s="671"/>
      <c r="F15" s="277"/>
      <c r="G15" s="277"/>
      <c r="H15" s="273"/>
      <c r="I15" s="273"/>
      <c r="J15" s="273"/>
    </row>
    <row r="16" spans="1:12" ht="18.899999999999999" customHeight="1">
      <c r="A16" s="273"/>
      <c r="B16" s="680" t="str">
        <v>04</v>
      </c>
      <c r="C16" s="289" t="s">
        <v>73</v>
      </c>
      <c r="D16" s="285" t="str">
        <f>'Tab.G1.1-4'!$D$11</f>
        <v>[tys. zł]</v>
      </c>
      <c r="E16" s="286"/>
      <c r="F16" s="277"/>
      <c r="G16" s="277"/>
      <c r="H16" s="273"/>
      <c r="I16" s="273"/>
      <c r="J16" s="273"/>
    </row>
    <row r="17" spans="1:26" ht="18.899999999999999" customHeight="1" thickBot="1">
      <c r="A17" s="273"/>
      <c r="B17" s="291" t="str">
        <v>05</v>
      </c>
      <c r="C17" s="290" t="s">
        <v>74</v>
      </c>
      <c r="D17" s="287" t="str">
        <f>'Tab.G1.1-4'!$D$11</f>
        <v>[tys. zł]</v>
      </c>
      <c r="E17" s="288"/>
      <c r="F17" s="277"/>
      <c r="G17" s="277"/>
      <c r="H17" s="273"/>
      <c r="I17" s="273"/>
      <c r="J17" s="273"/>
    </row>
    <row r="18" spans="1:26" ht="18.899999999999999" customHeight="1" thickTop="1" thickBot="1">
      <c r="A18" s="273"/>
      <c r="B18" s="273"/>
      <c r="C18" s="273"/>
      <c r="D18" s="278" t="s">
        <v>31</v>
      </c>
      <c r="E18" s="279">
        <f>SUM(E14,-'Tab.G1.1-4'!E77)</f>
        <v>0</v>
      </c>
      <c r="F18" s="277"/>
      <c r="G18" s="277"/>
      <c r="H18" s="273"/>
      <c r="I18" s="273"/>
      <c r="J18" s="273"/>
    </row>
    <row r="19" spans="1:26" ht="18.899999999999999" customHeight="1">
      <c r="A19" s="275"/>
      <c r="B19" s="277"/>
      <c r="C19" s="277"/>
      <c r="D19" s="277"/>
      <c r="E19" s="277"/>
      <c r="F19" s="277"/>
      <c r="G19" s="277"/>
      <c r="H19" s="277"/>
      <c r="I19" s="836"/>
      <c r="J19" s="836"/>
    </row>
    <row r="20" spans="1:26" ht="18.899999999999999" customHeight="1">
      <c r="A20" s="275"/>
      <c r="B20" s="277"/>
      <c r="C20" s="277"/>
      <c r="D20" s="277"/>
      <c r="E20" s="277"/>
      <c r="F20" s="277"/>
      <c r="G20" s="277"/>
      <c r="H20" s="277"/>
      <c r="I20" s="836"/>
      <c r="J20" s="836"/>
    </row>
    <row r="21" spans="1:26" ht="30" customHeight="1" thickBot="1">
      <c r="A21" s="273"/>
      <c r="B21" s="202" t="s">
        <v>246</v>
      </c>
      <c r="D21" s="836"/>
      <c r="E21" s="277"/>
      <c r="F21" s="277"/>
      <c r="G21" s="277"/>
      <c r="H21" s="277"/>
      <c r="I21" s="836"/>
      <c r="J21" s="836"/>
      <c r="K21" s="280"/>
      <c r="L21" s="281"/>
      <c r="M21" s="282"/>
      <c r="N21" s="282"/>
      <c r="O21" s="282"/>
      <c r="P21" s="282"/>
      <c r="Q21" s="282"/>
      <c r="R21" s="282"/>
      <c r="S21" s="282"/>
      <c r="T21" s="282"/>
      <c r="U21" s="282"/>
      <c r="V21" s="282"/>
      <c r="W21" s="282"/>
      <c r="X21" s="282"/>
      <c r="Y21" s="282"/>
      <c r="Z21" s="282"/>
    </row>
    <row r="22" spans="1:26" ht="18.899999999999999" customHeight="1" thickTop="1">
      <c r="A22" s="273"/>
      <c r="B22" s="1024" t="str">
        <f>'Tab.G1.1-4'!$B$8</f>
        <v>LP</v>
      </c>
      <c r="C22" s="1026" t="str">
        <f>'Tab.G1.1-4'!$C$8</f>
        <v>Wyszczególnienie</v>
      </c>
      <c r="D22" s="1027"/>
      <c r="E22" s="653" t="str">
        <f>'Tab.G1.1-4'!$E$8</f>
        <v>Wykonanie</v>
      </c>
      <c r="F22" s="277"/>
      <c r="G22" s="277"/>
      <c r="H22" s="277"/>
      <c r="I22" s="836"/>
      <c r="J22" s="836"/>
      <c r="K22" s="280"/>
      <c r="L22" s="281"/>
      <c r="M22" s="282"/>
      <c r="N22" s="282"/>
      <c r="O22" s="282"/>
      <c r="P22" s="282"/>
      <c r="Q22" s="282"/>
      <c r="R22" s="282"/>
      <c r="S22" s="282"/>
      <c r="T22" s="282"/>
      <c r="U22" s="282"/>
      <c r="V22" s="282"/>
      <c r="W22" s="282"/>
      <c r="X22" s="282"/>
      <c r="Y22" s="282"/>
      <c r="Z22" s="282"/>
    </row>
    <row r="23" spans="1:26" ht="18.899999999999999" customHeight="1">
      <c r="A23" s="273"/>
      <c r="B23" s="1025"/>
      <c r="C23" s="1028"/>
      <c r="D23" s="1029"/>
      <c r="E23" s="548">
        <f>Rok_ZPR</f>
        <v>2020</v>
      </c>
      <c r="F23" s="277"/>
      <c r="G23" s="277"/>
      <c r="H23" s="277"/>
      <c r="I23" s="836"/>
      <c r="J23" s="83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3" t="str">
        <f>Tab.G17!$B$11</f>
        <v>02</v>
      </c>
      <c r="D24" s="1014"/>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899999999999999"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899999999999999" customHeight="1">
      <c r="A26" s="275"/>
      <c r="B26" s="668" t="str">
        <v>03</v>
      </c>
      <c r="C26" s="694" t="s">
        <v>72</v>
      </c>
      <c r="D26" s="695" t="str">
        <f>'Tab.G1.1-4'!$D$11</f>
        <v>[tys. zł]</v>
      </c>
      <c r="E26" s="696"/>
      <c r="F26" s="275"/>
      <c r="G26" s="275"/>
      <c r="H26" s="275"/>
    </row>
    <row r="27" spans="1:26" ht="18.899999999999999" customHeight="1">
      <c r="A27" s="275"/>
      <c r="B27" s="680" t="str">
        <v>04</v>
      </c>
      <c r="C27" s="292" t="s">
        <v>73</v>
      </c>
      <c r="D27" s="293" t="str">
        <f>'Tab.G1.1-4'!$D$11</f>
        <v>[tys. zł]</v>
      </c>
      <c r="E27" s="304"/>
      <c r="F27" s="275"/>
      <c r="G27" s="275"/>
      <c r="H27" s="275"/>
    </row>
    <row r="28" spans="1:26" ht="18.899999999999999" customHeight="1" thickBot="1">
      <c r="A28" s="275"/>
      <c r="B28" s="291" t="str">
        <v>05</v>
      </c>
      <c r="C28" s="294" t="s">
        <v>74</v>
      </c>
      <c r="D28" s="295" t="str">
        <f>'Tab.G1.1-4'!$D$11</f>
        <v>[tys. zł]</v>
      </c>
      <c r="E28" s="305"/>
      <c r="F28" s="275"/>
      <c r="G28" s="275"/>
      <c r="H28" s="275"/>
    </row>
    <row r="29" spans="1:26" ht="18.899999999999999" customHeight="1" thickTop="1" thickBot="1">
      <c r="A29" s="275"/>
      <c r="B29" s="688"/>
      <c r="C29" s="692"/>
      <c r="D29" s="278" t="s">
        <v>31</v>
      </c>
      <c r="E29" s="279">
        <f>SUM(E25,-'Tab.G2.1E-6E'!E35)</f>
        <v>0</v>
      </c>
      <c r="F29" s="275"/>
      <c r="G29" s="275"/>
      <c r="H29" s="275"/>
    </row>
    <row r="30" spans="1:26" ht="18.899999999999999" customHeight="1">
      <c r="A30" s="275"/>
      <c r="B30" s="688"/>
      <c r="C30" s="275"/>
      <c r="D30" s="275"/>
      <c r="E30" s="275"/>
      <c r="F30" s="275"/>
      <c r="G30" s="275"/>
      <c r="H30" s="275"/>
    </row>
    <row r="31" spans="1:26" ht="18.899999999999999" customHeight="1">
      <c r="A31" s="275"/>
      <c r="B31" s="688"/>
      <c r="C31" s="275"/>
      <c r="D31" s="275"/>
      <c r="E31" s="275"/>
      <c r="F31" s="275"/>
      <c r="G31" s="275"/>
      <c r="H31" s="275"/>
    </row>
    <row r="32" spans="1:26" ht="30" customHeight="1" thickBot="1">
      <c r="A32" s="275"/>
      <c r="B32" s="147" t="s">
        <v>247</v>
      </c>
      <c r="D32" s="147"/>
      <c r="E32" s="690"/>
      <c r="F32" s="275"/>
      <c r="G32" s="275"/>
      <c r="H32" s="275"/>
    </row>
    <row r="33" spans="1:8" ht="18.899999999999999" customHeight="1" thickTop="1">
      <c r="A33" s="275"/>
      <c r="B33" s="1015" t="str">
        <f>'Tab.G1.1-4'!$B$8</f>
        <v>LP</v>
      </c>
      <c r="C33" s="1017" t="str">
        <f>'Tab.G1.1-4'!$C$8</f>
        <v>Wyszczególnienie</v>
      </c>
      <c r="D33" s="1018"/>
      <c r="E33" s="679" t="str">
        <f>'Tab.G1.1-4'!$E$8</f>
        <v>Wykonanie</v>
      </c>
      <c r="F33" s="275"/>
      <c r="G33" s="275"/>
      <c r="H33" s="275"/>
    </row>
    <row r="34" spans="1:8" ht="18.899999999999999" customHeight="1">
      <c r="A34" s="275"/>
      <c r="B34" s="1016"/>
      <c r="C34" s="1019"/>
      <c r="D34" s="1020"/>
      <c r="E34" s="676">
        <f>Rok_ZPR</f>
        <v>2020</v>
      </c>
      <c r="F34" s="275"/>
      <c r="G34" s="275"/>
      <c r="H34" s="275"/>
    </row>
    <row r="35" spans="1:8" ht="14.1" customHeight="1" thickBot="1">
      <c r="A35" s="275"/>
      <c r="B35" s="677" t="str">
        <f t="array" ref="B35:B55">Tab.G17!$B$10:$B$30</f>
        <v>01</v>
      </c>
      <c r="C35" s="1013" t="str">
        <f>Tab.G17!$B$11</f>
        <v>02</v>
      </c>
      <c r="D35" s="1014"/>
      <c r="E35" s="667" t="str">
        <f>Tab.G17!$B$12</f>
        <v>03</v>
      </c>
      <c r="F35" s="275"/>
      <c r="G35" s="275"/>
      <c r="H35" s="275"/>
    </row>
    <row r="36" spans="1:8" ht="18.899999999999999" customHeight="1">
      <c r="A36" s="275"/>
      <c r="B36" s="707" t="str">
        <v>02</v>
      </c>
      <c r="C36" s="656" t="s">
        <v>139</v>
      </c>
      <c r="D36" s="657" t="str">
        <f>'Tab.G2.1-3'!$D$106</f>
        <v>[szt.]</v>
      </c>
      <c r="E36" s="658">
        <f>SUM(E37:E39)</f>
        <v>0</v>
      </c>
      <c r="F36" s="275"/>
      <c r="G36" s="275"/>
      <c r="H36" s="275"/>
    </row>
    <row r="37" spans="1:8" ht="18.899999999999999" customHeight="1">
      <c r="A37" s="275"/>
      <c r="B37" s="701" t="str">
        <v>03</v>
      </c>
      <c r="C37" s="296" t="s">
        <v>72</v>
      </c>
      <c r="D37" s="297" t="str">
        <f>'Tab.G2.1-3'!$D$106</f>
        <v>[szt.]</v>
      </c>
      <c r="E37" s="306"/>
      <c r="F37" s="275"/>
      <c r="G37" s="275"/>
      <c r="H37" s="275"/>
    </row>
    <row r="38" spans="1:8" ht="18.899999999999999" customHeight="1">
      <c r="A38" s="275"/>
      <c r="B38" s="702" t="str">
        <v>04</v>
      </c>
      <c r="C38" s="298" t="s">
        <v>73</v>
      </c>
      <c r="D38" s="299" t="str">
        <f>'Tab.G2.1-3'!$D$106</f>
        <v>[szt.]</v>
      </c>
      <c r="E38" s="307"/>
      <c r="F38" s="275"/>
      <c r="G38" s="275"/>
      <c r="H38" s="275"/>
    </row>
    <row r="39" spans="1:8" ht="18.899999999999999" customHeight="1" thickBot="1">
      <c r="A39" s="275"/>
      <c r="B39" s="703" t="str">
        <v>05</v>
      </c>
      <c r="C39" s="300" t="s">
        <v>74</v>
      </c>
      <c r="D39" s="301" t="str">
        <f>'Tab.G2.1-3'!$D$106</f>
        <v>[szt.]</v>
      </c>
      <c r="E39" s="308"/>
      <c r="F39" s="275"/>
      <c r="G39" s="275"/>
      <c r="H39" s="275"/>
    </row>
    <row r="40" spans="1:8" ht="18.899999999999999" customHeight="1">
      <c r="A40" s="275"/>
      <c r="B40" s="659" t="str">
        <v>06</v>
      </c>
      <c r="C40" s="310" t="s">
        <v>142</v>
      </c>
      <c r="D40" s="311" t="str">
        <f>'Tab.G2.1-3'!$D$72</f>
        <v>[km]</v>
      </c>
      <c r="E40" s="312">
        <f>SUM(E41:E43)</f>
        <v>0</v>
      </c>
      <c r="F40" s="275"/>
      <c r="G40" s="275"/>
      <c r="H40" s="275"/>
    </row>
    <row r="41" spans="1:8" ht="18.899999999999999" customHeight="1">
      <c r="A41" s="275"/>
      <c r="B41" s="701" t="str">
        <v>07</v>
      </c>
      <c r="C41" s="296" t="s">
        <v>72</v>
      </c>
      <c r="D41" s="297" t="str">
        <f>'Tab.G2.1-3'!$D$72</f>
        <v>[km]</v>
      </c>
      <c r="E41" s="306"/>
      <c r="F41" s="275"/>
      <c r="G41" s="275"/>
      <c r="H41" s="275"/>
    </row>
    <row r="42" spans="1:8" ht="18.899999999999999" customHeight="1">
      <c r="A42" s="275"/>
      <c r="B42" s="702" t="str">
        <v>08</v>
      </c>
      <c r="C42" s="298" t="s">
        <v>73</v>
      </c>
      <c r="D42" s="299" t="str">
        <f>'Tab.G2.1-3'!$D$72</f>
        <v>[km]</v>
      </c>
      <c r="E42" s="307"/>
      <c r="F42" s="275"/>
      <c r="G42" s="275"/>
      <c r="H42" s="275"/>
    </row>
    <row r="43" spans="1:8" ht="18.899999999999999" customHeight="1" thickBot="1">
      <c r="A43" s="275"/>
      <c r="B43" s="664" t="str">
        <v>09</v>
      </c>
      <c r="C43" s="302" t="s">
        <v>74</v>
      </c>
      <c r="D43" s="303" t="str">
        <f>'Tab.G2.1-3'!$D$72</f>
        <v>[km]</v>
      </c>
      <c r="E43" s="309"/>
      <c r="F43" s="275"/>
      <c r="G43" s="275"/>
      <c r="H43" s="275"/>
    </row>
    <row r="44" spans="1:8" ht="18.899999999999999" customHeight="1">
      <c r="A44" s="275"/>
      <c r="B44" s="659" t="str">
        <v>10</v>
      </c>
      <c r="C44" s="310" t="s">
        <v>143</v>
      </c>
      <c r="D44" s="311" t="str">
        <f>'Tab.G2.1-3'!$D$106</f>
        <v>[szt.]</v>
      </c>
      <c r="E44" s="312">
        <f>SUM(E45:E47)</f>
        <v>0</v>
      </c>
      <c r="F44" s="275"/>
      <c r="G44" s="275"/>
      <c r="H44" s="275"/>
    </row>
    <row r="45" spans="1:8" ht="18.899999999999999" customHeight="1">
      <c r="A45" s="275"/>
      <c r="B45" s="701" t="str">
        <v>11</v>
      </c>
      <c r="C45" s="296" t="s">
        <v>72</v>
      </c>
      <c r="D45" s="297" t="str">
        <f>'Tab.G2.1-3'!$D$106</f>
        <v>[szt.]</v>
      </c>
      <c r="E45" s="306"/>
      <c r="F45" s="275"/>
      <c r="G45" s="275"/>
      <c r="H45" s="275"/>
    </row>
    <row r="46" spans="1:8" ht="18.899999999999999" customHeight="1">
      <c r="A46" s="275"/>
      <c r="B46" s="702" t="str">
        <v>12</v>
      </c>
      <c r="C46" s="298" t="s">
        <v>73</v>
      </c>
      <c r="D46" s="299" t="str">
        <f>'Tab.G2.1-3'!$D$106</f>
        <v>[szt.]</v>
      </c>
      <c r="E46" s="307"/>
      <c r="F46" s="275"/>
      <c r="G46" s="275"/>
      <c r="H46" s="275"/>
    </row>
    <row r="47" spans="1:8" ht="18.899999999999999" customHeight="1" thickBot="1">
      <c r="A47" s="275"/>
      <c r="B47" s="664" t="str">
        <v>13</v>
      </c>
      <c r="C47" s="302" t="s">
        <v>74</v>
      </c>
      <c r="D47" s="303" t="str">
        <f>'Tab.G2.1-3'!$D$106</f>
        <v>[szt.]</v>
      </c>
      <c r="E47" s="309"/>
      <c r="F47" s="275"/>
      <c r="G47" s="275"/>
      <c r="H47" s="275"/>
    </row>
    <row r="48" spans="1:8" ht="18.899999999999999" customHeight="1">
      <c r="A48" s="275"/>
      <c r="B48" s="659" t="str">
        <v>14</v>
      </c>
      <c r="C48" s="310" t="s">
        <v>141</v>
      </c>
      <c r="D48" s="311" t="str">
        <f>"[m³/h]"</f>
        <v>[m³/h]</v>
      </c>
      <c r="E48" s="312">
        <f>SUM(E49:E51)</f>
        <v>0</v>
      </c>
      <c r="F48" s="275"/>
      <c r="G48" s="275"/>
      <c r="H48" s="275"/>
    </row>
    <row r="49" spans="1:8" ht="18.899999999999999" customHeight="1">
      <c r="A49" s="275"/>
      <c r="B49" s="701" t="str">
        <v>15</v>
      </c>
      <c r="C49" s="296" t="s">
        <v>72</v>
      </c>
      <c r="D49" s="297" t="str">
        <f t="shared" ref="D49:D55" si="0">$D$48</f>
        <v>[m³/h]</v>
      </c>
      <c r="E49" s="306"/>
      <c r="F49" s="275"/>
      <c r="G49" s="275"/>
      <c r="H49" s="275"/>
    </row>
    <row r="50" spans="1:8" ht="18.899999999999999" customHeight="1">
      <c r="A50" s="275"/>
      <c r="B50" s="702" t="str">
        <v>16</v>
      </c>
      <c r="C50" s="298" t="s">
        <v>73</v>
      </c>
      <c r="D50" s="299" t="str">
        <f t="shared" si="0"/>
        <v>[m³/h]</v>
      </c>
      <c r="E50" s="307"/>
      <c r="F50" s="275"/>
      <c r="G50" s="275"/>
      <c r="H50" s="275"/>
    </row>
    <row r="51" spans="1:8" ht="18.899999999999999" customHeight="1" thickBot="1">
      <c r="A51" s="275"/>
      <c r="B51" s="664" t="str">
        <v>17</v>
      </c>
      <c r="C51" s="302" t="s">
        <v>74</v>
      </c>
      <c r="D51" s="303" t="str">
        <f t="shared" si="0"/>
        <v>[m³/h]</v>
      </c>
      <c r="E51" s="309"/>
      <c r="F51" s="275"/>
      <c r="G51" s="275"/>
      <c r="H51" s="275"/>
    </row>
    <row r="52" spans="1:8" ht="18.899999999999999" customHeight="1">
      <c r="A52" s="275"/>
      <c r="B52" s="659" t="str">
        <v>18</v>
      </c>
      <c r="C52" s="310" t="s">
        <v>144</v>
      </c>
      <c r="D52" s="311" t="str">
        <f t="shared" si="0"/>
        <v>[m³/h]</v>
      </c>
      <c r="E52" s="312">
        <f>SUM(E53:E55)</f>
        <v>0</v>
      </c>
      <c r="F52" s="275"/>
      <c r="G52" s="275"/>
      <c r="H52" s="275"/>
    </row>
    <row r="53" spans="1:8" ht="18.899999999999999" customHeight="1">
      <c r="A53" s="275"/>
      <c r="B53" s="701" t="str">
        <v>19</v>
      </c>
      <c r="C53" s="296" t="s">
        <v>72</v>
      </c>
      <c r="D53" s="297" t="str">
        <f t="shared" si="0"/>
        <v>[m³/h]</v>
      </c>
      <c r="E53" s="306"/>
      <c r="F53" s="275"/>
      <c r="G53" s="275"/>
      <c r="H53" s="275"/>
    </row>
    <row r="54" spans="1:8" ht="18.899999999999999" customHeight="1">
      <c r="A54" s="275"/>
      <c r="B54" s="702" t="str">
        <v>20</v>
      </c>
      <c r="C54" s="298" t="s">
        <v>73</v>
      </c>
      <c r="D54" s="299" t="str">
        <f t="shared" si="0"/>
        <v>[m³/h]</v>
      </c>
      <c r="E54" s="307"/>
      <c r="F54" s="275"/>
      <c r="G54" s="275"/>
      <c r="H54" s="275"/>
    </row>
    <row r="55" spans="1:8" ht="18.899999999999999" customHeight="1" thickBot="1">
      <c r="A55" s="275"/>
      <c r="B55" s="666" t="str">
        <v>21</v>
      </c>
      <c r="C55" s="313" t="s">
        <v>74</v>
      </c>
      <c r="D55" s="314" t="str">
        <f t="shared" si="0"/>
        <v>[m³/h]</v>
      </c>
      <c r="E55" s="315"/>
      <c r="F55" s="275"/>
      <c r="G55" s="275"/>
      <c r="H55" s="275"/>
    </row>
    <row r="56" spans="1:8" ht="9.9" customHeight="1" thickTop="1">
      <c r="A56" s="275"/>
      <c r="B56" s="688"/>
      <c r="C56" s="275"/>
      <c r="D56" s="275"/>
      <c r="E56" s="275"/>
      <c r="F56" s="275"/>
      <c r="G56" s="275"/>
      <c r="H56" s="275"/>
    </row>
    <row r="57" spans="1:8" ht="24.9" customHeight="1">
      <c r="A57" s="275"/>
      <c r="B57" s="855" t="s">
        <v>213</v>
      </c>
      <c r="C57" s="1021" t="s">
        <v>275</v>
      </c>
      <c r="D57" s="1021"/>
      <c r="E57" s="1021"/>
      <c r="F57" s="1021"/>
      <c r="G57" s="1021"/>
      <c r="H57" s="704"/>
    </row>
    <row r="58" spans="1:8" ht="15" customHeight="1">
      <c r="A58" s="275"/>
      <c r="B58" s="850" t="s">
        <v>214</v>
      </c>
      <c r="C58" s="1022" t="s">
        <v>215</v>
      </c>
      <c r="D58" s="1023"/>
      <c r="E58" s="1023"/>
      <c r="F58" s="1023"/>
      <c r="G58" s="1023"/>
      <c r="H58" s="275"/>
    </row>
    <row r="59" spans="1:8" ht="15" customHeight="1">
      <c r="A59" s="275"/>
      <c r="B59" s="855" t="s">
        <v>216</v>
      </c>
      <c r="C59" s="1021" t="s">
        <v>217</v>
      </c>
      <c r="D59" s="1021"/>
      <c r="E59" s="1021"/>
      <c r="F59" s="1021"/>
      <c r="G59" s="1021"/>
      <c r="H59" s="705"/>
    </row>
    <row r="60" spans="1:8" ht="18.899999999999999" customHeight="1">
      <c r="A60" s="275"/>
      <c r="B60" s="688"/>
      <c r="C60" s="275"/>
      <c r="D60" s="275"/>
      <c r="E60" s="275"/>
      <c r="F60" s="275"/>
      <c r="G60" s="275"/>
      <c r="H60" s="275"/>
    </row>
    <row r="61" spans="1:8" ht="30" customHeight="1" thickBot="1">
      <c r="A61" s="275"/>
      <c r="B61" s="700" t="s">
        <v>248</v>
      </c>
      <c r="C61" s="275"/>
      <c r="D61" s="275"/>
      <c r="E61" s="275"/>
      <c r="F61" s="275"/>
      <c r="G61" s="275"/>
      <c r="H61" s="275"/>
    </row>
    <row r="62" spans="1:8" ht="18.899999999999999" customHeight="1" thickTop="1">
      <c r="A62" s="275"/>
      <c r="B62" s="1015" t="str">
        <f>'Tab.G1.1-4'!$B$8</f>
        <v>LP</v>
      </c>
      <c r="C62" s="1017" t="str">
        <f>'Tab.G1.1-4'!$C$8</f>
        <v>Wyszczególnienie</v>
      </c>
      <c r="D62" s="1018"/>
      <c r="E62" s="679" t="str">
        <f>'Tab.G1.1-4'!$E$8</f>
        <v>Wykonanie</v>
      </c>
      <c r="F62" s="275"/>
      <c r="G62" s="275"/>
      <c r="H62" s="275"/>
    </row>
    <row r="63" spans="1:8" ht="18.899999999999999" customHeight="1">
      <c r="A63" s="275"/>
      <c r="B63" s="1016"/>
      <c r="C63" s="1019"/>
      <c r="D63" s="1020"/>
      <c r="E63" s="676">
        <f>Rok_ZPR</f>
        <v>2020</v>
      </c>
      <c r="F63" s="275"/>
      <c r="G63" s="275"/>
      <c r="H63" s="275"/>
    </row>
    <row r="64" spans="1:8" ht="14.1" customHeight="1" thickBot="1">
      <c r="A64" s="275"/>
      <c r="B64" s="677" t="str">
        <f t="array" ref="B64:B84">Tab.G17!$B$10:$B$30</f>
        <v>01</v>
      </c>
      <c r="C64" s="1013" t="str">
        <f>Tab.G17!$B$11</f>
        <v>02</v>
      </c>
      <c r="D64" s="1014"/>
      <c r="E64" s="667" t="str">
        <f>Tab.G17!$B$12</f>
        <v>03</v>
      </c>
      <c r="F64" s="275"/>
      <c r="G64" s="275"/>
      <c r="H64" s="275"/>
    </row>
    <row r="65" spans="1:8" ht="18.899999999999999" customHeight="1">
      <c r="A65" s="275"/>
      <c r="B65" s="707" t="str">
        <v>02</v>
      </c>
      <c r="C65" s="656" t="s">
        <v>152</v>
      </c>
      <c r="D65" s="657" t="str">
        <f>'Tab.G2.1-3'!$D$168</f>
        <v>[tys. zł/szt.]</v>
      </c>
      <c r="E65" s="706" t="str">
        <f t="array" ref="E65:E68">IFERROR($E$14:$E$17/E36:E39,"")</f>
        <v/>
      </c>
      <c r="F65" s="275"/>
      <c r="G65" s="275"/>
      <c r="H65" s="275"/>
    </row>
    <row r="66" spans="1:8" ht="18.899999999999999" customHeight="1">
      <c r="A66" s="275"/>
      <c r="B66" s="701" t="str">
        <v>03</v>
      </c>
      <c r="C66" s="296" t="s">
        <v>72</v>
      </c>
      <c r="D66" s="297" t="str">
        <f>'Tab.G2.1-3'!$D$168</f>
        <v>[tys. zł/szt.]</v>
      </c>
      <c r="E66" s="316" t="str">
        <v/>
      </c>
      <c r="F66" s="275"/>
      <c r="G66" s="275"/>
      <c r="H66" s="275"/>
    </row>
    <row r="67" spans="1:8" ht="18.899999999999999" customHeight="1">
      <c r="A67" s="275"/>
      <c r="B67" s="702" t="str">
        <v>04</v>
      </c>
      <c r="C67" s="298" t="s">
        <v>73</v>
      </c>
      <c r="D67" s="299" t="str">
        <f>'Tab.G2.1-3'!$D$168</f>
        <v>[tys. zł/szt.]</v>
      </c>
      <c r="E67" s="317" t="str">
        <v/>
      </c>
      <c r="F67" s="275"/>
      <c r="G67" s="275"/>
      <c r="H67" s="275"/>
    </row>
    <row r="68" spans="1:8" ht="18.899999999999999" customHeight="1" thickBot="1">
      <c r="A68" s="275"/>
      <c r="B68" s="703" t="str">
        <v>05</v>
      </c>
      <c r="C68" s="300" t="s">
        <v>74</v>
      </c>
      <c r="D68" s="301" t="str">
        <f>'Tab.G2.1-3'!$D$168</f>
        <v>[tys. zł/szt.]</v>
      </c>
      <c r="E68" s="318" t="str">
        <v/>
      </c>
      <c r="F68" s="275"/>
      <c r="G68" s="275"/>
      <c r="H68" s="275"/>
    </row>
    <row r="69" spans="1:8" ht="18.899999999999999" customHeight="1">
      <c r="A69" s="275"/>
      <c r="B69" s="659" t="str">
        <v>06</v>
      </c>
      <c r="C69" s="310" t="s">
        <v>153</v>
      </c>
      <c r="D69" s="311" t="str">
        <f>'Tab.G2.1-3'!$D$134</f>
        <v>[tys. zł/km]</v>
      </c>
      <c r="E69" s="319" t="str">
        <f t="array" ref="E69:E72">IFERROR($E$14:$E$17/E40:E43,"")</f>
        <v/>
      </c>
      <c r="F69" s="275"/>
      <c r="G69" s="275"/>
      <c r="H69" s="275"/>
    </row>
    <row r="70" spans="1:8" ht="18.899999999999999" customHeight="1">
      <c r="A70" s="275"/>
      <c r="B70" s="701" t="str">
        <v>07</v>
      </c>
      <c r="C70" s="296" t="s">
        <v>72</v>
      </c>
      <c r="D70" s="297" t="str">
        <f>'Tab.G2.1-3'!$D$134</f>
        <v>[tys. zł/km]</v>
      </c>
      <c r="E70" s="316" t="str">
        <v/>
      </c>
      <c r="F70" s="275"/>
      <c r="G70" s="275"/>
      <c r="H70" s="275"/>
    </row>
    <row r="71" spans="1:8" ht="18.899999999999999" customHeight="1">
      <c r="A71" s="275"/>
      <c r="B71" s="702" t="str">
        <v>08</v>
      </c>
      <c r="C71" s="298" t="s">
        <v>73</v>
      </c>
      <c r="D71" s="299" t="str">
        <f>'Tab.G2.1-3'!$D$134</f>
        <v>[tys. zł/km]</v>
      </c>
      <c r="E71" s="317" t="str">
        <v/>
      </c>
      <c r="F71" s="275"/>
      <c r="G71" s="275"/>
      <c r="H71" s="275"/>
    </row>
    <row r="72" spans="1:8" ht="18.899999999999999" customHeight="1" thickBot="1">
      <c r="A72" s="275"/>
      <c r="B72" s="664" t="str">
        <v>09</v>
      </c>
      <c r="C72" s="302" t="s">
        <v>74</v>
      </c>
      <c r="D72" s="303" t="str">
        <f>'Tab.G2.1-3'!$D$134</f>
        <v>[tys. zł/km]</v>
      </c>
      <c r="E72" s="320" t="str">
        <v/>
      </c>
      <c r="F72" s="275"/>
      <c r="G72" s="275"/>
      <c r="H72" s="275"/>
    </row>
    <row r="73" spans="1:8" ht="18.899999999999999" customHeight="1">
      <c r="A73" s="275"/>
      <c r="B73" s="659" t="str">
        <v>10</v>
      </c>
      <c r="C73" s="310" t="s">
        <v>154</v>
      </c>
      <c r="D73" s="311" t="str">
        <f>'Tab.G2.1-3'!$D$168</f>
        <v>[tys. zł/szt.]</v>
      </c>
      <c r="E73" s="319" t="str">
        <f t="array" ref="E73:E76">IFERROR($E$14:$E$17/E44:E47,"")</f>
        <v/>
      </c>
      <c r="F73" s="275"/>
      <c r="G73" s="275"/>
      <c r="H73" s="275"/>
    </row>
    <row r="74" spans="1:8" ht="18.899999999999999" customHeight="1">
      <c r="A74" s="275"/>
      <c r="B74" s="701" t="str">
        <v>11</v>
      </c>
      <c r="C74" s="296" t="s">
        <v>72</v>
      </c>
      <c r="D74" s="297" t="str">
        <f>'Tab.G2.1-3'!$D$168</f>
        <v>[tys. zł/szt.]</v>
      </c>
      <c r="E74" s="316" t="str">
        <v/>
      </c>
      <c r="F74" s="275"/>
      <c r="G74" s="275"/>
      <c r="H74" s="275"/>
    </row>
    <row r="75" spans="1:8" ht="18.899999999999999" customHeight="1">
      <c r="A75" s="275"/>
      <c r="B75" s="702" t="str">
        <v>12</v>
      </c>
      <c r="C75" s="298" t="s">
        <v>73</v>
      </c>
      <c r="D75" s="299" t="str">
        <f>'Tab.G2.1-3'!$D$168</f>
        <v>[tys. zł/szt.]</v>
      </c>
      <c r="E75" s="317" t="str">
        <v/>
      </c>
      <c r="F75" s="275"/>
      <c r="G75" s="275"/>
      <c r="H75" s="275"/>
    </row>
    <row r="76" spans="1:8" ht="18.899999999999999" customHeight="1" thickBot="1">
      <c r="A76" s="275"/>
      <c r="B76" s="664" t="str">
        <v>13</v>
      </c>
      <c r="C76" s="302" t="s">
        <v>74</v>
      </c>
      <c r="D76" s="303" t="str">
        <f>'Tab.G2.1-3'!$D$168</f>
        <v>[tys. zł/szt.]</v>
      </c>
      <c r="E76" s="320" t="str">
        <v/>
      </c>
      <c r="F76" s="275"/>
      <c r="G76" s="275"/>
      <c r="H76" s="275"/>
    </row>
    <row r="77" spans="1:8" ht="18.899999999999999" customHeight="1">
      <c r="A77" s="275"/>
      <c r="B77" s="659" t="str">
        <v>14</v>
      </c>
      <c r="C77" s="310" t="s">
        <v>155</v>
      </c>
      <c r="D77" s="311" t="str">
        <f>"[tys. zł/(m³/h)]"</f>
        <v>[tys. zł/(m³/h)]</v>
      </c>
      <c r="E77" s="319" t="str">
        <f t="array" ref="E77:E80">IFERROR($E$14:$E$17/E48:E51,"")</f>
        <v/>
      </c>
      <c r="F77" s="275"/>
      <c r="G77" s="275"/>
      <c r="H77" s="275"/>
    </row>
    <row r="78" spans="1:8" ht="18.899999999999999" customHeight="1">
      <c r="A78" s="275"/>
      <c r="B78" s="701" t="str">
        <v>15</v>
      </c>
      <c r="C78" s="296" t="s">
        <v>72</v>
      </c>
      <c r="D78" s="297" t="str">
        <f t="shared" ref="D78:D84" si="1">$D$77</f>
        <v>[tys. zł/(m³/h)]</v>
      </c>
      <c r="E78" s="316" t="str">
        <v/>
      </c>
      <c r="F78" s="275"/>
      <c r="G78" s="275"/>
      <c r="H78" s="275"/>
    </row>
    <row r="79" spans="1:8" ht="18.899999999999999" customHeight="1">
      <c r="A79" s="275"/>
      <c r="B79" s="702" t="str">
        <v>16</v>
      </c>
      <c r="C79" s="298" t="s">
        <v>73</v>
      </c>
      <c r="D79" s="299" t="str">
        <f t="shared" si="1"/>
        <v>[tys. zł/(m³/h)]</v>
      </c>
      <c r="E79" s="317" t="str">
        <v/>
      </c>
      <c r="F79" s="275"/>
      <c r="G79" s="275"/>
      <c r="H79" s="275"/>
    </row>
    <row r="80" spans="1:8" ht="18.899999999999999" customHeight="1" thickBot="1">
      <c r="A80" s="275"/>
      <c r="B80" s="664" t="str">
        <v>17</v>
      </c>
      <c r="C80" s="302" t="s">
        <v>74</v>
      </c>
      <c r="D80" s="303" t="str">
        <f t="shared" si="1"/>
        <v>[tys. zł/(m³/h)]</v>
      </c>
      <c r="E80" s="320" t="str">
        <v/>
      </c>
      <c r="F80" s="275"/>
      <c r="G80" s="275"/>
      <c r="H80" s="275"/>
    </row>
    <row r="81" spans="1:8" ht="18.899999999999999" customHeight="1">
      <c r="A81" s="275"/>
      <c r="B81" s="659" t="str">
        <v>18</v>
      </c>
      <c r="C81" s="310" t="s">
        <v>156</v>
      </c>
      <c r="D81" s="311" t="str">
        <f t="shared" si="1"/>
        <v>[tys. zł/(m³/h)]</v>
      </c>
      <c r="E81" s="319" t="str">
        <f t="array" ref="E81:E84">IFERROR($E$14:$E$17/E52:E55,"")</f>
        <v/>
      </c>
      <c r="F81" s="275"/>
      <c r="G81" s="275"/>
      <c r="H81" s="275"/>
    </row>
    <row r="82" spans="1:8" ht="18.899999999999999" customHeight="1">
      <c r="A82" s="275"/>
      <c r="B82" s="701" t="str">
        <v>19</v>
      </c>
      <c r="C82" s="296" t="s">
        <v>72</v>
      </c>
      <c r="D82" s="297" t="str">
        <f t="shared" si="1"/>
        <v>[tys. zł/(m³/h)]</v>
      </c>
      <c r="E82" s="316" t="str">
        <v/>
      </c>
      <c r="F82" s="275"/>
      <c r="G82" s="275"/>
      <c r="H82" s="275"/>
    </row>
    <row r="83" spans="1:8" ht="18.899999999999999" customHeight="1">
      <c r="A83" s="275"/>
      <c r="B83" s="702" t="str">
        <v>20</v>
      </c>
      <c r="C83" s="298" t="s">
        <v>73</v>
      </c>
      <c r="D83" s="299" t="str">
        <f t="shared" si="1"/>
        <v>[tys. zł/(m³/h)]</v>
      </c>
      <c r="E83" s="317" t="str">
        <v/>
      </c>
      <c r="F83" s="275"/>
      <c r="G83" s="275"/>
      <c r="H83" s="275"/>
    </row>
    <row r="84" spans="1:8" ht="18.899999999999999" customHeight="1" thickBot="1">
      <c r="A84" s="275"/>
      <c r="B84" s="666" t="str">
        <v>21</v>
      </c>
      <c r="C84" s="313" t="s">
        <v>74</v>
      </c>
      <c r="D84" s="314" t="str">
        <f t="shared" si="1"/>
        <v>[tys. zł/(m³/h)]</v>
      </c>
      <c r="E84" s="708" t="str">
        <v/>
      </c>
      <c r="F84" s="275"/>
      <c r="G84" s="275"/>
      <c r="H84" s="275"/>
    </row>
    <row r="85" spans="1:8" ht="18.899999999999999" customHeight="1" thickTop="1">
      <c r="A85" s="275"/>
      <c r="B85" s="688"/>
      <c r="C85" s="275"/>
      <c r="D85" s="275"/>
      <c r="E85" s="275"/>
      <c r="F85" s="275"/>
      <c r="G85" s="275"/>
      <c r="H85" s="275"/>
    </row>
    <row r="86" spans="1:8" ht="18.899999999999999" customHeight="1">
      <c r="A86" s="275"/>
      <c r="B86" s="688"/>
      <c r="C86" s="275"/>
      <c r="D86" s="275"/>
      <c r="E86" s="275"/>
      <c r="F86" s="275"/>
      <c r="G86" s="275"/>
      <c r="H86" s="275"/>
    </row>
    <row r="87" spans="1:8" ht="30" customHeight="1" thickBot="1">
      <c r="A87" s="275"/>
      <c r="B87" s="700" t="s">
        <v>269</v>
      </c>
      <c r="C87" s="275"/>
      <c r="D87" s="275"/>
      <c r="E87" s="275"/>
      <c r="F87" s="275"/>
      <c r="G87" s="275"/>
      <c r="H87" s="275"/>
    </row>
    <row r="88" spans="1:8" ht="18.899999999999999" customHeight="1" thickTop="1">
      <c r="A88" s="275"/>
      <c r="B88" s="1015" t="str">
        <f>'Tab.G1.1-4'!$B$8</f>
        <v>LP</v>
      </c>
      <c r="C88" s="1017" t="str">
        <f>'Tab.G1.1-4'!$C$8</f>
        <v>Wyszczególnienie</v>
      </c>
      <c r="D88" s="1018"/>
      <c r="E88" s="679" t="str">
        <f>'Tab.G1.1-4'!$E$8</f>
        <v>Wykonanie</v>
      </c>
      <c r="F88" s="275"/>
      <c r="G88" s="275"/>
      <c r="H88" s="275"/>
    </row>
    <row r="89" spans="1:8" ht="18.899999999999999" customHeight="1">
      <c r="A89" s="275"/>
      <c r="B89" s="1016"/>
      <c r="C89" s="1019"/>
      <c r="D89" s="1020"/>
      <c r="E89" s="676">
        <f>Rok_ZPR</f>
        <v>2020</v>
      </c>
      <c r="F89" s="275"/>
      <c r="G89" s="275"/>
      <c r="H89" s="275"/>
    </row>
    <row r="90" spans="1:8" ht="14.1" customHeight="1" thickBot="1">
      <c r="A90" s="275"/>
      <c r="B90" s="677" t="str">
        <f t="array" ref="B90:B110">Tab.G17!$B$10:$B$30</f>
        <v>01</v>
      </c>
      <c r="C90" s="1013" t="str">
        <f>Tab.G17!$B$11</f>
        <v>02</v>
      </c>
      <c r="D90" s="1014"/>
      <c r="E90" s="667" t="str">
        <f>Tab.G17!$B$12</f>
        <v>03</v>
      </c>
      <c r="F90" s="275"/>
      <c r="G90" s="275"/>
      <c r="H90" s="275"/>
    </row>
    <row r="91" spans="1:8" ht="18.899999999999999" customHeight="1">
      <c r="A91" s="275"/>
      <c r="B91" s="707" t="str">
        <v>02</v>
      </c>
      <c r="C91" s="656" t="s">
        <v>146</v>
      </c>
      <c r="D91" s="657" t="str">
        <f>'Tab.G2.1-3'!$D$168</f>
        <v>[tys. zł/szt.]</v>
      </c>
      <c r="E91" s="658" t="str">
        <f t="array" ref="E91:E94">IFERROR($E$25:$E$28/E36:E39,"")</f>
        <v/>
      </c>
      <c r="F91" s="275"/>
      <c r="G91" s="275"/>
      <c r="H91" s="275"/>
    </row>
    <row r="92" spans="1:8" ht="18.899999999999999" customHeight="1">
      <c r="A92" s="275"/>
      <c r="B92" s="701" t="str">
        <v>03</v>
      </c>
      <c r="C92" s="296" t="s">
        <v>72</v>
      </c>
      <c r="D92" s="297" t="str">
        <f>'Tab.G2.1-3'!$D$168</f>
        <v>[tys. zł/szt.]</v>
      </c>
      <c r="E92" s="306" t="str">
        <v/>
      </c>
      <c r="F92" s="275"/>
      <c r="G92" s="275"/>
      <c r="H92" s="275"/>
    </row>
    <row r="93" spans="1:8" ht="18.899999999999999" customHeight="1">
      <c r="A93" s="275"/>
      <c r="B93" s="702" t="str">
        <v>04</v>
      </c>
      <c r="C93" s="298" t="s">
        <v>73</v>
      </c>
      <c r="D93" s="299" t="str">
        <f>'Tab.G2.1-3'!$D$168</f>
        <v>[tys. zł/szt.]</v>
      </c>
      <c r="E93" s="307" t="str">
        <v/>
      </c>
      <c r="F93" s="275"/>
      <c r="G93" s="275"/>
      <c r="H93" s="275"/>
    </row>
    <row r="94" spans="1:8" ht="18.899999999999999" customHeight="1" thickBot="1">
      <c r="A94" s="275"/>
      <c r="B94" s="703" t="str">
        <v>05</v>
      </c>
      <c r="C94" s="300" t="s">
        <v>74</v>
      </c>
      <c r="D94" s="301" t="str">
        <f>'Tab.G2.1-3'!$D$168</f>
        <v>[tys. zł/szt.]</v>
      </c>
      <c r="E94" s="308" t="str">
        <v/>
      </c>
      <c r="F94" s="275"/>
      <c r="G94" s="275"/>
      <c r="H94" s="275"/>
    </row>
    <row r="95" spans="1:8" ht="18.899999999999999" customHeight="1">
      <c r="A95" s="275"/>
      <c r="B95" s="659" t="str">
        <v>06</v>
      </c>
      <c r="C95" s="310" t="s">
        <v>145</v>
      </c>
      <c r="D95" s="311" t="str">
        <f>'Tab.G2.1-3'!$D$134</f>
        <v>[tys. zł/km]</v>
      </c>
      <c r="E95" s="312" t="str">
        <f t="array" ref="E95:E98">IFERROR($E$25:$E$28/E40:E43,"")</f>
        <v/>
      </c>
      <c r="F95" s="275"/>
      <c r="G95" s="275"/>
      <c r="H95" s="275"/>
    </row>
    <row r="96" spans="1:8" ht="18.899999999999999" customHeight="1">
      <c r="A96" s="275"/>
      <c r="B96" s="701" t="str">
        <v>07</v>
      </c>
      <c r="C96" s="296" t="s">
        <v>72</v>
      </c>
      <c r="D96" s="297" t="str">
        <f>'Tab.G2.1-3'!$D$134</f>
        <v>[tys. zł/km]</v>
      </c>
      <c r="E96" s="306" t="str">
        <v/>
      </c>
      <c r="F96" s="275"/>
      <c r="G96" s="275"/>
      <c r="H96" s="275"/>
    </row>
    <row r="97" spans="1:8" ht="18.899999999999999" customHeight="1">
      <c r="A97" s="275"/>
      <c r="B97" s="702" t="str">
        <v>08</v>
      </c>
      <c r="C97" s="298" t="s">
        <v>73</v>
      </c>
      <c r="D97" s="299" t="str">
        <f>'Tab.G2.1-3'!$D$134</f>
        <v>[tys. zł/km]</v>
      </c>
      <c r="E97" s="307" t="str">
        <v/>
      </c>
      <c r="F97" s="275"/>
      <c r="G97" s="275"/>
      <c r="H97" s="275"/>
    </row>
    <row r="98" spans="1:8" ht="18.899999999999999" customHeight="1" thickBot="1">
      <c r="A98" s="275"/>
      <c r="B98" s="664" t="str">
        <v>09</v>
      </c>
      <c r="C98" s="302" t="s">
        <v>74</v>
      </c>
      <c r="D98" s="303" t="str">
        <f>'Tab.G2.1-3'!$D$134</f>
        <v>[tys. zł/km]</v>
      </c>
      <c r="E98" s="309" t="str">
        <v/>
      </c>
      <c r="F98" s="275"/>
      <c r="G98" s="275"/>
      <c r="H98" s="275"/>
    </row>
    <row r="99" spans="1:8" ht="18.899999999999999" customHeight="1">
      <c r="A99" s="275"/>
      <c r="B99" s="659" t="str">
        <v>10</v>
      </c>
      <c r="C99" s="310" t="s">
        <v>147</v>
      </c>
      <c r="D99" s="311" t="str">
        <f>'Tab.G2.1-3'!$D$168</f>
        <v>[tys. zł/szt.]</v>
      </c>
      <c r="E99" s="312" t="str">
        <f t="array" ref="E99:E102">IFERROR($E$25:$E$28/E44:E47,"")</f>
        <v/>
      </c>
      <c r="F99" s="275"/>
      <c r="G99" s="275"/>
      <c r="H99" s="275"/>
    </row>
    <row r="100" spans="1:8" ht="18.899999999999999" customHeight="1">
      <c r="A100" s="275"/>
      <c r="B100" s="701" t="str">
        <v>11</v>
      </c>
      <c r="C100" s="296" t="s">
        <v>72</v>
      </c>
      <c r="D100" s="297" t="str">
        <f>'Tab.G2.1-3'!$D$168</f>
        <v>[tys. zł/szt.]</v>
      </c>
      <c r="E100" s="306" t="str">
        <v/>
      </c>
      <c r="F100" s="275"/>
      <c r="G100" s="275"/>
      <c r="H100" s="275"/>
    </row>
    <row r="101" spans="1:8" ht="18.899999999999999" customHeight="1">
      <c r="A101" s="275"/>
      <c r="B101" s="702" t="str">
        <v>12</v>
      </c>
      <c r="C101" s="298" t="s">
        <v>73</v>
      </c>
      <c r="D101" s="299" t="str">
        <f>'Tab.G2.1-3'!$D$168</f>
        <v>[tys. zł/szt.]</v>
      </c>
      <c r="E101" s="307" t="str">
        <v/>
      </c>
      <c r="F101" s="275"/>
      <c r="G101" s="275"/>
      <c r="H101" s="275"/>
    </row>
    <row r="102" spans="1:8" ht="18.899999999999999" customHeight="1" thickBot="1">
      <c r="A102" s="275"/>
      <c r="B102" s="664" t="str">
        <v>13</v>
      </c>
      <c r="C102" s="302" t="s">
        <v>74</v>
      </c>
      <c r="D102" s="303" t="str">
        <f>'Tab.G2.1-3'!$D$168</f>
        <v>[tys. zł/szt.]</v>
      </c>
      <c r="E102" s="309" t="str">
        <v/>
      </c>
      <c r="F102" s="275"/>
      <c r="G102" s="275"/>
      <c r="H102" s="275"/>
    </row>
    <row r="103" spans="1:8" ht="18.899999999999999" customHeight="1">
      <c r="A103" s="275"/>
      <c r="B103" s="659" t="str">
        <v>14</v>
      </c>
      <c r="C103" s="310" t="s">
        <v>148</v>
      </c>
      <c r="D103" s="311" t="str">
        <f t="shared" ref="D103:D110" si="2">$D$77</f>
        <v>[tys. zł/(m³/h)]</v>
      </c>
      <c r="E103" s="312" t="str">
        <f t="array" ref="E103:E106">IFERROR($E$25:$E$28/E48:E51,"")</f>
        <v/>
      </c>
      <c r="F103" s="275"/>
      <c r="G103" s="275"/>
      <c r="H103" s="275"/>
    </row>
    <row r="104" spans="1:8" ht="18.899999999999999" customHeight="1">
      <c r="A104" s="275"/>
      <c r="B104" s="701" t="str">
        <v>15</v>
      </c>
      <c r="C104" s="296" t="s">
        <v>72</v>
      </c>
      <c r="D104" s="297" t="str">
        <f t="shared" si="2"/>
        <v>[tys. zł/(m³/h)]</v>
      </c>
      <c r="E104" s="306" t="str">
        <v/>
      </c>
      <c r="F104" s="275"/>
      <c r="G104" s="275"/>
      <c r="H104" s="275"/>
    </row>
    <row r="105" spans="1:8" ht="18.899999999999999" customHeight="1">
      <c r="A105" s="275"/>
      <c r="B105" s="702" t="str">
        <v>16</v>
      </c>
      <c r="C105" s="298" t="s">
        <v>73</v>
      </c>
      <c r="D105" s="299" t="str">
        <f t="shared" si="2"/>
        <v>[tys. zł/(m³/h)]</v>
      </c>
      <c r="E105" s="307" t="str">
        <v/>
      </c>
      <c r="F105" s="275"/>
      <c r="G105" s="275"/>
      <c r="H105" s="275"/>
    </row>
    <row r="106" spans="1:8" ht="18.899999999999999" customHeight="1" thickBot="1">
      <c r="A106" s="275"/>
      <c r="B106" s="664" t="str">
        <v>17</v>
      </c>
      <c r="C106" s="302" t="s">
        <v>74</v>
      </c>
      <c r="D106" s="303" t="str">
        <f t="shared" si="2"/>
        <v>[tys. zł/(m³/h)]</v>
      </c>
      <c r="E106" s="309" t="str">
        <v/>
      </c>
      <c r="F106" s="275"/>
      <c r="G106" s="275"/>
      <c r="H106" s="275"/>
    </row>
    <row r="107" spans="1:8" ht="18.899999999999999" customHeight="1">
      <c r="A107" s="275"/>
      <c r="B107" s="659" t="str">
        <v>18</v>
      </c>
      <c r="C107" s="310" t="s">
        <v>149</v>
      </c>
      <c r="D107" s="311" t="str">
        <f t="shared" si="2"/>
        <v>[tys. zł/(m³/h)]</v>
      </c>
      <c r="E107" s="312" t="str">
        <f t="array" ref="E107:E110">IFERROR($E$25:$E$28/E52:E55,"")</f>
        <v/>
      </c>
      <c r="F107" s="275"/>
      <c r="G107" s="275"/>
      <c r="H107" s="275"/>
    </row>
    <row r="108" spans="1:8" ht="18.899999999999999" customHeight="1">
      <c r="A108" s="275"/>
      <c r="B108" s="701" t="str">
        <v>19</v>
      </c>
      <c r="C108" s="296" t="s">
        <v>72</v>
      </c>
      <c r="D108" s="297" t="str">
        <f t="shared" si="2"/>
        <v>[tys. zł/(m³/h)]</v>
      </c>
      <c r="E108" s="306" t="str">
        <v/>
      </c>
      <c r="F108" s="275"/>
      <c r="G108" s="275"/>
      <c r="H108" s="275"/>
    </row>
    <row r="109" spans="1:8" ht="18.899999999999999" customHeight="1">
      <c r="A109" s="275"/>
      <c r="B109" s="702" t="str">
        <v>20</v>
      </c>
      <c r="C109" s="298" t="s">
        <v>73</v>
      </c>
      <c r="D109" s="299" t="str">
        <f t="shared" si="2"/>
        <v>[tys. zł/(m³/h)]</v>
      </c>
      <c r="E109" s="307" t="str">
        <v/>
      </c>
      <c r="F109" s="275"/>
      <c r="G109" s="275"/>
      <c r="H109" s="275"/>
    </row>
    <row r="110" spans="1:8" ht="18.899999999999999" customHeight="1" thickBot="1">
      <c r="A110" s="275"/>
      <c r="B110" s="666" t="str">
        <v>21</v>
      </c>
      <c r="C110" s="313" t="s">
        <v>74</v>
      </c>
      <c r="D110" s="314" t="str">
        <f t="shared" si="2"/>
        <v>[tys. zł/(m³/h)]</v>
      </c>
      <c r="E110" s="315" t="str">
        <v/>
      </c>
      <c r="F110" s="275"/>
      <c r="G110" s="275"/>
      <c r="H110" s="275"/>
    </row>
    <row r="111" spans="1:8" ht="18.899999999999999" customHeight="1" thickTop="1">
      <c r="A111" s="275"/>
      <c r="B111" s="688"/>
      <c r="C111" s="275"/>
      <c r="D111" s="275"/>
      <c r="E111" s="275"/>
      <c r="F111" s="275"/>
      <c r="G111" s="275"/>
      <c r="H111" s="275"/>
    </row>
    <row r="112" spans="1:8" ht="18.899999999999999" customHeight="1">
      <c r="A112" s="275"/>
      <c r="B112" s="688"/>
      <c r="C112" s="275"/>
      <c r="D112" s="275"/>
      <c r="E112" s="275"/>
      <c r="F112" s="275"/>
      <c r="G112" s="275"/>
      <c r="H112" s="275"/>
    </row>
  </sheetData>
  <mergeCells count="24">
    <mergeCell ref="C90:D90"/>
    <mergeCell ref="B33:B34"/>
    <mergeCell ref="C33:D34"/>
    <mergeCell ref="C35:D35"/>
    <mergeCell ref="C57:G57"/>
    <mergeCell ref="C58:G58"/>
    <mergeCell ref="C59:G59"/>
    <mergeCell ref="B62:B63"/>
    <mergeCell ref="C62:D63"/>
    <mergeCell ref="C64:D64"/>
    <mergeCell ref="B88:B89"/>
    <mergeCell ref="C88:D89"/>
    <mergeCell ref="B11:B12"/>
    <mergeCell ref="C11:D12"/>
    <mergeCell ref="C13:D13"/>
    <mergeCell ref="B22:B23"/>
    <mergeCell ref="C22:D23"/>
    <mergeCell ref="C24:D24"/>
    <mergeCell ref="C4:G4"/>
    <mergeCell ref="C5:G5"/>
    <mergeCell ref="C6:G6"/>
    <mergeCell ref="C7:G7"/>
    <mergeCell ref="C8:G8"/>
    <mergeCell ref="C9:G9"/>
  </mergeCells>
  <hyperlinks>
    <hyperlink ref="C2" location="Spis!B21" display="&gt;&gt; powrót do spisu treści" xr:uid="{00000000-0004-0000-06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3">
    <pageSetUpPr fitToPage="1"/>
  </sheetPr>
  <dimension ref="A1:K79"/>
  <sheetViews>
    <sheetView zoomScaleNormal="75" workbookViewId="0">
      <pane ySplit="4" topLeftCell="A5" activePane="bottomLeft" state="frozen"/>
      <selection pane="bottomLeft" activeCell="F13" sqref="F13"/>
    </sheetView>
  </sheetViews>
  <sheetFormatPr defaultColWidth="11.36328125" defaultRowHeight="13.2"/>
  <cols>
    <col min="1" max="1" width="3.81640625" style="207" customWidth="1"/>
    <col min="2" max="2" width="4.81640625" style="284" customWidth="1"/>
    <col min="3" max="3" width="66.81640625" style="207" customWidth="1"/>
    <col min="4" max="4" width="12.81640625" style="207" customWidth="1"/>
    <col min="5" max="5" width="15.81640625" style="207" customWidth="1"/>
    <col min="6" max="13" width="10.81640625" style="207" customWidth="1"/>
    <col min="14" max="16384" width="11.36328125" style="207"/>
  </cols>
  <sheetData>
    <row r="1" spans="1:11" ht="18.75" customHeight="1">
      <c r="A1" s="275"/>
      <c r="B1" s="688"/>
      <c r="C1" s="945" t="s">
        <v>10</v>
      </c>
      <c r="D1" s="275"/>
      <c r="E1" s="275"/>
      <c r="F1" s="275"/>
      <c r="G1" s="275"/>
      <c r="H1" s="275"/>
      <c r="I1" s="275"/>
      <c r="J1" s="275"/>
      <c r="K1" s="275"/>
    </row>
    <row r="2" spans="1:11" ht="9.9" customHeight="1">
      <c r="A2" s="275"/>
      <c r="B2" s="688"/>
      <c r="C2" s="856"/>
      <c r="D2" s="275"/>
      <c r="E2" s="275"/>
      <c r="F2" s="275"/>
      <c r="G2" s="275"/>
      <c r="H2" s="275"/>
      <c r="I2" s="275"/>
      <c r="J2" s="275"/>
      <c r="K2" s="275"/>
    </row>
    <row r="3" spans="1:11" s="204" customFormat="1" ht="15" customHeight="1">
      <c r="A3" s="692"/>
      <c r="B3" s="850" t="s">
        <v>14</v>
      </c>
      <c r="C3" s="1037" t="s">
        <v>157</v>
      </c>
      <c r="D3" s="1038"/>
      <c r="E3" s="1038"/>
      <c r="F3" s="1038"/>
      <c r="G3" s="1038"/>
      <c r="H3" s="692"/>
      <c r="I3" s="692"/>
      <c r="J3" s="692"/>
      <c r="K3" s="692"/>
    </row>
    <row r="4" spans="1:11" s="204" customFormat="1" ht="15" customHeight="1">
      <c r="A4" s="692"/>
      <c r="B4" s="850" t="s">
        <v>29</v>
      </c>
      <c r="C4" s="1037" t="s">
        <v>159</v>
      </c>
      <c r="D4" s="1038"/>
      <c r="E4" s="1038"/>
      <c r="F4" s="1038"/>
      <c r="G4" s="1038"/>
      <c r="H4" s="692"/>
      <c r="I4" s="692"/>
      <c r="J4" s="692"/>
      <c r="K4" s="692"/>
    </row>
    <row r="5" spans="1:11" ht="21" customHeight="1" thickBot="1">
      <c r="A5" s="691"/>
      <c r="B5" s="691" t="s">
        <v>158</v>
      </c>
      <c r="C5" s="691"/>
      <c r="D5" s="691"/>
      <c r="E5" s="275"/>
      <c r="F5" s="275"/>
      <c r="G5" s="275"/>
      <c r="H5" s="275"/>
      <c r="I5" s="275"/>
      <c r="J5" s="275"/>
      <c r="K5" s="275"/>
    </row>
    <row r="6" spans="1:11" ht="18.899999999999999" customHeight="1" thickTop="1">
      <c r="A6" s="691"/>
      <c r="B6" s="1032" t="str">
        <f>'Tab.G1.1-4'!$B$8</f>
        <v>LP</v>
      </c>
      <c r="C6" s="1030" t="str">
        <f>'Tab.G1.1-4'!$C$8</f>
        <v>Wyszczególnienie</v>
      </c>
      <c r="D6" s="1031"/>
      <c r="E6" s="653" t="str">
        <f>'Tab.G1.1-4'!$E$8</f>
        <v>Wykonanie</v>
      </c>
      <c r="F6" s="275"/>
      <c r="G6" s="275"/>
      <c r="H6" s="275"/>
      <c r="I6" s="275"/>
      <c r="J6" s="275"/>
      <c r="K6" s="275"/>
    </row>
    <row r="7" spans="1:11" ht="18.899999999999999" customHeight="1">
      <c r="A7" s="691"/>
      <c r="B7" s="1033"/>
      <c r="C7" s="1004"/>
      <c r="D7" s="1001"/>
      <c r="E7" s="548">
        <f>Rok_ZPR</f>
        <v>2020</v>
      </c>
      <c r="F7" s="275"/>
      <c r="G7" s="275"/>
      <c r="H7" s="275"/>
      <c r="I7" s="275"/>
      <c r="J7" s="275"/>
      <c r="K7" s="275"/>
    </row>
    <row r="8" spans="1:11" ht="14.1" customHeight="1" thickBot="1">
      <c r="A8" s="691"/>
      <c r="B8" s="652" t="str">
        <f t="array" ref="B8:B11">Tab.G17!$B$10:$B$13</f>
        <v>01</v>
      </c>
      <c r="C8" s="1013" t="str">
        <f>Tab.G17!$B$11</f>
        <v>02</v>
      </c>
      <c r="D8" s="1014"/>
      <c r="E8" s="667" t="str">
        <f>Tab.G17!$B$12</f>
        <v>03</v>
      </c>
      <c r="F8" s="275"/>
      <c r="G8" s="275"/>
      <c r="H8" s="275"/>
      <c r="I8" s="275"/>
      <c r="J8" s="275"/>
      <c r="K8" s="275"/>
    </row>
    <row r="9" spans="1:11" ht="18.899999999999999" customHeight="1">
      <c r="A9" s="691"/>
      <c r="B9" s="672" t="str">
        <v>02</v>
      </c>
      <c r="C9" s="673" t="str">
        <f>"Nakłady inwestycyjne na przyłączenia nowych źródeł, z tego:"</f>
        <v>Nakłady inwestycyjne na przyłączenia nowych źródeł, z tego:</v>
      </c>
      <c r="D9" s="674" t="str">
        <f>'Tab.G1.1-4'!$D$11</f>
        <v>[tys. zł]</v>
      </c>
      <c r="E9" s="675">
        <f>SUM(E10:E12)</f>
        <v>0</v>
      </c>
      <c r="F9" s="275"/>
      <c r="G9" s="275"/>
      <c r="H9" s="275"/>
      <c r="I9" s="275"/>
      <c r="J9" s="275"/>
      <c r="K9" s="275"/>
    </row>
    <row r="10" spans="1:11" ht="18.899999999999999" customHeight="1">
      <c r="A10" s="691"/>
      <c r="B10" s="668" t="str">
        <v>03</v>
      </c>
      <c r="C10" s="669" t="s">
        <v>160</v>
      </c>
      <c r="D10" s="670" t="str">
        <f>'Tab.G1.1-4'!$D$11</f>
        <v>[tys. zł]</v>
      </c>
      <c r="E10" s="671"/>
      <c r="F10" s="275"/>
      <c r="G10" s="275"/>
      <c r="H10" s="275"/>
      <c r="I10" s="275"/>
      <c r="J10" s="275"/>
      <c r="K10" s="275"/>
    </row>
    <row r="11" spans="1:11" ht="18.899999999999999" customHeight="1" thickBot="1">
      <c r="A11" s="691"/>
      <c r="B11" s="651" t="str">
        <v>04</v>
      </c>
      <c r="C11" s="324" t="s">
        <v>161</v>
      </c>
      <c r="D11" s="287" t="str">
        <f>'Tab.G1.1-4'!$D$11</f>
        <v>[tys. zł]</v>
      </c>
      <c r="E11" s="288"/>
      <c r="F11" s="275"/>
      <c r="G11" s="275"/>
      <c r="H11" s="275"/>
      <c r="I11" s="275"/>
      <c r="J11" s="275"/>
      <c r="K11" s="275"/>
    </row>
    <row r="12" spans="1:11" ht="21" customHeight="1" thickTop="1">
      <c r="A12" s="691"/>
      <c r="B12" s="691"/>
      <c r="C12" s="691"/>
      <c r="D12" s="691"/>
      <c r="E12" s="275"/>
      <c r="F12" s="275"/>
      <c r="G12" s="275"/>
      <c r="H12" s="275"/>
      <c r="I12" s="275"/>
      <c r="J12" s="275"/>
      <c r="K12" s="275"/>
    </row>
    <row r="13" spans="1:11" ht="21" customHeight="1">
      <c r="A13" s="691"/>
      <c r="B13" s="691"/>
      <c r="C13" s="691"/>
      <c r="D13" s="691"/>
      <c r="E13" s="275"/>
      <c r="F13" s="275"/>
      <c r="G13" s="275"/>
      <c r="H13" s="275"/>
      <c r="I13" s="275"/>
      <c r="J13" s="275"/>
      <c r="K13" s="275"/>
    </row>
    <row r="14" spans="1:11" ht="21" customHeight="1" thickBot="1">
      <c r="A14" s="691"/>
      <c r="B14" s="691" t="s">
        <v>162</v>
      </c>
      <c r="C14" s="691"/>
      <c r="D14" s="691"/>
      <c r="E14" s="275"/>
      <c r="F14" s="275"/>
      <c r="G14" s="275"/>
      <c r="H14" s="275"/>
      <c r="I14" s="275"/>
      <c r="J14" s="275"/>
      <c r="K14" s="275"/>
    </row>
    <row r="15" spans="1:11" ht="18.899999999999999" customHeight="1" thickTop="1">
      <c r="A15" s="691"/>
      <c r="B15" s="1015" t="str">
        <f>'Tab.G1.1-4'!$B$8</f>
        <v>LP</v>
      </c>
      <c r="C15" s="1017" t="str">
        <f>'Tab.G1.1-4'!$C$8</f>
        <v>Wyszczególnienie</v>
      </c>
      <c r="D15" s="1018"/>
      <c r="E15" s="679" t="str">
        <f>'Tab.G1.1-4'!$E$8</f>
        <v>Wykonanie</v>
      </c>
      <c r="F15" s="275"/>
      <c r="G15" s="275"/>
      <c r="H15" s="275"/>
      <c r="I15" s="275"/>
      <c r="J15" s="275"/>
      <c r="K15" s="275"/>
    </row>
    <row r="16" spans="1:11" ht="18.899999999999999" customHeight="1">
      <c r="A16" s="691"/>
      <c r="B16" s="1016"/>
      <c r="C16" s="1019"/>
      <c r="D16" s="1020"/>
      <c r="E16" s="676">
        <f>Rok_ZPR</f>
        <v>2020</v>
      </c>
      <c r="F16" s="275"/>
      <c r="G16" s="275"/>
      <c r="H16" s="275"/>
      <c r="I16" s="275"/>
      <c r="J16" s="275"/>
      <c r="K16" s="275"/>
    </row>
    <row r="17" spans="1:11" ht="14.1" customHeight="1" thickBot="1">
      <c r="A17" s="691"/>
      <c r="B17" s="677" t="str">
        <f t="array" ref="B17:B26">Tab.G17!$B$10:$B$19</f>
        <v>01</v>
      </c>
      <c r="C17" s="1039" t="str">
        <f>Tab.G17!$B$11</f>
        <v>02</v>
      </c>
      <c r="D17" s="1040"/>
      <c r="E17" s="678" t="str">
        <f>Tab.G17!$B$12</f>
        <v>03</v>
      </c>
      <c r="F17" s="275"/>
      <c r="G17" s="275"/>
      <c r="H17" s="275"/>
      <c r="I17" s="275"/>
      <c r="J17" s="275"/>
      <c r="K17" s="275"/>
    </row>
    <row r="18" spans="1:11" ht="18.899999999999999" customHeight="1">
      <c r="A18" s="691"/>
      <c r="B18" s="659" t="str">
        <v>02</v>
      </c>
      <c r="C18" s="656" t="s">
        <v>163</v>
      </c>
      <c r="D18" s="657" t="str">
        <f>'Tab.G2.1-3'!$D$106</f>
        <v>[szt.]</v>
      </c>
      <c r="E18" s="658">
        <f>SUM(E19:E20)</f>
        <v>0</v>
      </c>
      <c r="F18" s="275"/>
      <c r="G18" s="275"/>
      <c r="H18" s="275"/>
      <c r="I18" s="275"/>
      <c r="J18" s="275"/>
      <c r="K18" s="275"/>
    </row>
    <row r="19" spans="1:11" ht="18.899999999999999" customHeight="1">
      <c r="A19" s="691"/>
      <c r="B19" s="660" t="str">
        <v>03</v>
      </c>
      <c r="C19" s="654" t="s">
        <v>160</v>
      </c>
      <c r="D19" s="655" t="str">
        <f>'Tab.G2.1-3'!$D$106</f>
        <v>[szt.]</v>
      </c>
      <c r="E19" s="306"/>
      <c r="F19" s="275"/>
      <c r="G19" s="275"/>
      <c r="H19" s="275"/>
      <c r="I19" s="275"/>
      <c r="J19" s="275"/>
      <c r="K19" s="275"/>
    </row>
    <row r="20" spans="1:11" ht="18.899999999999999" customHeight="1" thickBot="1">
      <c r="A20" s="691"/>
      <c r="B20" s="661" t="str">
        <v>04</v>
      </c>
      <c r="C20" s="326" t="s">
        <v>161</v>
      </c>
      <c r="D20" s="327" t="str">
        <f>'Tab.G2.1-3'!$D$106</f>
        <v>[szt.]</v>
      </c>
      <c r="E20" s="309"/>
      <c r="F20" s="275"/>
      <c r="G20" s="275"/>
      <c r="H20" s="275"/>
      <c r="I20" s="275"/>
      <c r="J20" s="275"/>
      <c r="K20" s="275"/>
    </row>
    <row r="21" spans="1:11" ht="18.899999999999999" customHeight="1">
      <c r="A21" s="691"/>
      <c r="B21" s="662" t="str">
        <v>05</v>
      </c>
      <c r="C21" s="328" t="s">
        <v>164</v>
      </c>
      <c r="D21" s="329" t="str">
        <f>'Tab.G2.1-3'!$D$72</f>
        <v>[km]</v>
      </c>
      <c r="E21" s="330">
        <f>SUM(E22:E23)</f>
        <v>0</v>
      </c>
      <c r="F21" s="275"/>
      <c r="G21" s="275"/>
      <c r="H21" s="275"/>
      <c r="I21" s="275"/>
      <c r="J21" s="275"/>
      <c r="K21" s="275"/>
    </row>
    <row r="22" spans="1:11" ht="18.899999999999999" customHeight="1">
      <c r="A22" s="691"/>
      <c r="B22" s="663" t="str">
        <v>06</v>
      </c>
      <c r="C22" s="331" t="s">
        <v>160</v>
      </c>
      <c r="D22" s="332" t="str">
        <f>'Tab.G2.1-3'!$D$72</f>
        <v>[km]</v>
      </c>
      <c r="E22" s="333"/>
      <c r="F22" s="275"/>
      <c r="G22" s="275"/>
      <c r="H22" s="275"/>
      <c r="I22" s="275"/>
      <c r="J22" s="275"/>
      <c r="K22" s="275"/>
    </row>
    <row r="23" spans="1:11" ht="18.899999999999999" customHeight="1" thickBot="1">
      <c r="A23" s="691"/>
      <c r="B23" s="664" t="str">
        <v>07</v>
      </c>
      <c r="C23" s="326" t="s">
        <v>161</v>
      </c>
      <c r="D23" s="303" t="str">
        <f>'Tab.G2.1-3'!$D$72</f>
        <v>[km]</v>
      </c>
      <c r="E23" s="309"/>
      <c r="F23" s="275"/>
      <c r="G23" s="275"/>
      <c r="H23" s="275"/>
      <c r="I23" s="275"/>
      <c r="J23" s="275"/>
      <c r="K23" s="275"/>
    </row>
    <row r="24" spans="1:11" ht="18.899999999999999" customHeight="1">
      <c r="A24" s="691"/>
      <c r="B24" s="665" t="str">
        <v>08</v>
      </c>
      <c r="C24" s="334" t="s">
        <v>165</v>
      </c>
      <c r="D24" s="335" t="str">
        <f>'Tab.G3.1-5'!$D$48</f>
        <v>[m³/h]</v>
      </c>
      <c r="E24" s="336">
        <f>SUM(E25:E26)</f>
        <v>0</v>
      </c>
      <c r="F24" s="275"/>
      <c r="G24" s="275"/>
      <c r="H24" s="275"/>
      <c r="I24" s="275"/>
      <c r="J24" s="275"/>
      <c r="K24" s="275"/>
    </row>
    <row r="25" spans="1:11" ht="18.899999999999999" customHeight="1">
      <c r="A25" s="691"/>
      <c r="B25" s="663" t="str">
        <v>09</v>
      </c>
      <c r="C25" s="331" t="s">
        <v>160</v>
      </c>
      <c r="D25" s="332" t="str">
        <f>'Tab.G3.1-5'!$D$48</f>
        <v>[m³/h]</v>
      </c>
      <c r="E25" s="333"/>
      <c r="F25" s="275"/>
      <c r="G25" s="275"/>
      <c r="H25" s="275"/>
      <c r="I25" s="275"/>
      <c r="J25" s="275"/>
      <c r="K25" s="275"/>
    </row>
    <row r="26" spans="1:11" ht="18.899999999999999" customHeight="1" thickBot="1">
      <c r="A26" s="691"/>
      <c r="B26" s="666" t="str">
        <v>10</v>
      </c>
      <c r="C26" s="325" t="s">
        <v>161</v>
      </c>
      <c r="D26" s="314" t="str">
        <f>'Tab.G3.1-5'!$D$48</f>
        <v>[m³/h]</v>
      </c>
      <c r="E26" s="315"/>
      <c r="F26" s="275"/>
      <c r="G26" s="275"/>
      <c r="H26" s="275"/>
      <c r="I26" s="275"/>
      <c r="J26" s="275"/>
      <c r="K26" s="275"/>
    </row>
    <row r="27" spans="1:11" ht="21" customHeight="1" thickTop="1">
      <c r="A27" s="691"/>
      <c r="B27" s="691"/>
      <c r="C27" s="691"/>
      <c r="D27" s="691"/>
      <c r="E27" s="275"/>
      <c r="F27" s="275"/>
      <c r="G27" s="275"/>
      <c r="H27" s="275"/>
      <c r="I27" s="275"/>
      <c r="J27" s="275"/>
      <c r="K27" s="275"/>
    </row>
    <row r="28" spans="1:11" ht="21" customHeight="1">
      <c r="A28" s="691"/>
      <c r="B28" s="691"/>
      <c r="C28" s="691"/>
      <c r="D28" s="691"/>
      <c r="E28" s="275"/>
      <c r="F28" s="275"/>
      <c r="G28" s="275"/>
      <c r="H28" s="275"/>
      <c r="I28" s="275"/>
      <c r="J28" s="275"/>
      <c r="K28" s="275"/>
    </row>
    <row r="29" spans="1:11" ht="21" customHeight="1" thickBot="1">
      <c r="A29" s="691"/>
      <c r="B29" s="691" t="s">
        <v>166</v>
      </c>
      <c r="C29" s="691"/>
      <c r="D29" s="691"/>
      <c r="E29" s="275"/>
      <c r="F29" s="275"/>
      <c r="G29" s="275"/>
      <c r="H29" s="275"/>
      <c r="I29" s="275"/>
      <c r="J29" s="275"/>
      <c r="K29" s="275"/>
    </row>
    <row r="30" spans="1:11" ht="18.899999999999999" customHeight="1" thickTop="1">
      <c r="A30" s="691"/>
      <c r="B30" s="1015" t="str">
        <f>'Tab.G1.1-4'!$B$8</f>
        <v>LP</v>
      </c>
      <c r="C30" s="1017" t="str">
        <f>'Tab.G1.1-4'!$C$8</f>
        <v>Wyszczególnienie</v>
      </c>
      <c r="D30" s="1018"/>
      <c r="E30" s="679" t="str">
        <f>'Tab.G1.1-4'!$E$8</f>
        <v>Wykonanie</v>
      </c>
      <c r="F30" s="275"/>
      <c r="G30" s="275"/>
      <c r="H30" s="275"/>
      <c r="I30" s="275"/>
      <c r="J30" s="275"/>
      <c r="K30" s="275"/>
    </row>
    <row r="31" spans="1:11" ht="18.899999999999999" customHeight="1">
      <c r="A31" s="691"/>
      <c r="B31" s="1016"/>
      <c r="C31" s="1019"/>
      <c r="D31" s="1020"/>
      <c r="E31" s="676">
        <f>Rok_ZPR</f>
        <v>2020</v>
      </c>
      <c r="F31" s="275"/>
      <c r="G31" s="275"/>
      <c r="H31" s="275"/>
      <c r="I31" s="275"/>
      <c r="J31" s="275"/>
      <c r="K31" s="275"/>
    </row>
    <row r="32" spans="1:11" ht="14.1" customHeight="1" thickBot="1">
      <c r="A32" s="691"/>
      <c r="B32" s="677" t="str">
        <f t="array" ref="B32:B41">Tab.G17!$B$10:$B$19</f>
        <v>01</v>
      </c>
      <c r="C32" s="1039" t="str">
        <f>Tab.G17!$B$11</f>
        <v>02</v>
      </c>
      <c r="D32" s="1040"/>
      <c r="E32" s="678" t="str">
        <f>Tab.G17!$B$12</f>
        <v>03</v>
      </c>
      <c r="F32" s="275"/>
      <c r="G32" s="275"/>
      <c r="H32" s="275"/>
      <c r="I32" s="275"/>
      <c r="J32" s="275"/>
      <c r="K32" s="275"/>
    </row>
    <row r="33" spans="1:11" ht="18.899999999999999" customHeight="1">
      <c r="A33" s="691"/>
      <c r="B33" s="659" t="str">
        <v>02</v>
      </c>
      <c r="C33" s="656" t="s">
        <v>167</v>
      </c>
      <c r="D33" s="657" t="str">
        <f>'Tab.G2.1-3'!$D$168</f>
        <v>[tys. zł/szt.]</v>
      </c>
      <c r="E33" s="658" t="str">
        <f t="array" ref="E33:E35">IFERROR($E$9:$E$11/E18:E20,"")</f>
        <v/>
      </c>
      <c r="F33" s="275"/>
      <c r="G33" s="275"/>
      <c r="H33" s="275"/>
      <c r="I33" s="275"/>
      <c r="J33" s="275"/>
      <c r="K33" s="275"/>
    </row>
    <row r="34" spans="1:11" ht="18.899999999999999" customHeight="1">
      <c r="A34" s="691"/>
      <c r="B34" s="660" t="str">
        <v>03</v>
      </c>
      <c r="C34" s="654" t="s">
        <v>160</v>
      </c>
      <c r="D34" s="655" t="str">
        <f>'Tab.G2.1-3'!$D$168</f>
        <v>[tys. zł/szt.]</v>
      </c>
      <c r="E34" s="306" t="str">
        <v/>
      </c>
      <c r="F34" s="275"/>
      <c r="G34" s="275"/>
      <c r="H34" s="275"/>
      <c r="I34" s="275"/>
      <c r="J34" s="275"/>
      <c r="K34" s="275"/>
    </row>
    <row r="35" spans="1:11" ht="18.899999999999999" customHeight="1" thickBot="1">
      <c r="A35" s="691"/>
      <c r="B35" s="661" t="str">
        <v>04</v>
      </c>
      <c r="C35" s="326" t="s">
        <v>161</v>
      </c>
      <c r="D35" s="327" t="str">
        <f>'Tab.G2.1-3'!$D$168</f>
        <v>[tys. zł/szt.]</v>
      </c>
      <c r="E35" s="309" t="str">
        <v/>
      </c>
      <c r="F35" s="275"/>
      <c r="G35" s="275"/>
      <c r="H35" s="275"/>
      <c r="I35" s="275"/>
      <c r="J35" s="275"/>
      <c r="K35" s="275"/>
    </row>
    <row r="36" spans="1:11" ht="18.899999999999999" customHeight="1">
      <c r="A36" s="691"/>
      <c r="B36" s="662" t="str">
        <v>05</v>
      </c>
      <c r="C36" s="328" t="s">
        <v>168</v>
      </c>
      <c r="D36" s="329" t="str">
        <f>'Tab.G2.1-3'!$D$134</f>
        <v>[tys. zł/km]</v>
      </c>
      <c r="E36" s="330" t="str">
        <f t="array" ref="E36:E38">IFERROR($E$9:$E$11/E21:E23,"")</f>
        <v/>
      </c>
      <c r="F36" s="275"/>
      <c r="G36" s="275"/>
      <c r="H36" s="275"/>
      <c r="I36" s="275"/>
      <c r="J36" s="275"/>
      <c r="K36" s="275"/>
    </row>
    <row r="37" spans="1:11" ht="18.899999999999999" customHeight="1">
      <c r="A37" s="691"/>
      <c r="B37" s="663" t="str">
        <v>06</v>
      </c>
      <c r="C37" s="331" t="s">
        <v>160</v>
      </c>
      <c r="D37" s="332" t="str">
        <f>'Tab.G2.1-3'!$D$134</f>
        <v>[tys. zł/km]</v>
      </c>
      <c r="E37" s="333" t="str">
        <v/>
      </c>
      <c r="F37" s="275"/>
      <c r="G37" s="275"/>
      <c r="H37" s="275"/>
      <c r="I37" s="275"/>
      <c r="J37" s="275"/>
      <c r="K37" s="275"/>
    </row>
    <row r="38" spans="1:11" ht="18.899999999999999" customHeight="1" thickBot="1">
      <c r="A38" s="691"/>
      <c r="B38" s="664" t="str">
        <v>07</v>
      </c>
      <c r="C38" s="326" t="s">
        <v>161</v>
      </c>
      <c r="D38" s="303" t="str">
        <f>'Tab.G2.1-3'!$D$134</f>
        <v>[tys. zł/km]</v>
      </c>
      <c r="E38" s="309" t="str">
        <v/>
      </c>
      <c r="F38" s="275"/>
      <c r="G38" s="275"/>
      <c r="H38" s="275"/>
      <c r="I38" s="275"/>
      <c r="J38" s="275"/>
      <c r="K38" s="275"/>
    </row>
    <row r="39" spans="1:11" ht="18.899999999999999" customHeight="1">
      <c r="A39" s="691"/>
      <c r="B39" s="665" t="str">
        <v>08</v>
      </c>
      <c r="C39" s="334" t="s">
        <v>169</v>
      </c>
      <c r="D39" s="335" t="str">
        <f>'Tab.G3.1-5'!$D$77</f>
        <v>[tys. zł/(m³/h)]</v>
      </c>
      <c r="E39" s="336" t="str">
        <f t="array" ref="E39:E41">IFERROR($E$9:$E$11/E24:E26,"")</f>
        <v/>
      </c>
      <c r="F39" s="275"/>
      <c r="G39" s="275"/>
      <c r="H39" s="275"/>
      <c r="I39" s="275"/>
      <c r="J39" s="275"/>
      <c r="K39" s="275"/>
    </row>
    <row r="40" spans="1:11" ht="18.899999999999999" customHeight="1">
      <c r="A40" s="691"/>
      <c r="B40" s="663" t="str">
        <v>09</v>
      </c>
      <c r="C40" s="331" t="s">
        <v>160</v>
      </c>
      <c r="D40" s="332" t="str">
        <f>'Tab.G3.1-5'!$D$77</f>
        <v>[tys. zł/(m³/h)]</v>
      </c>
      <c r="E40" s="333" t="str">
        <v/>
      </c>
      <c r="F40" s="275"/>
      <c r="G40" s="275"/>
      <c r="H40" s="275"/>
      <c r="I40" s="275"/>
      <c r="J40" s="275"/>
      <c r="K40" s="275"/>
    </row>
    <row r="41" spans="1:11" ht="18.899999999999999" customHeight="1" thickBot="1">
      <c r="A41" s="691"/>
      <c r="B41" s="666" t="str">
        <v>10</v>
      </c>
      <c r="C41" s="325" t="s">
        <v>161</v>
      </c>
      <c r="D41" s="314" t="str">
        <f>'Tab.G3.1-5'!$D$77</f>
        <v>[tys. zł/(m³/h)]</v>
      </c>
      <c r="E41" s="315" t="str">
        <v/>
      </c>
      <c r="F41" s="275"/>
      <c r="G41" s="275"/>
      <c r="H41" s="275"/>
      <c r="I41" s="275"/>
      <c r="J41" s="275"/>
      <c r="K41" s="275"/>
    </row>
    <row r="42" spans="1:11" ht="21" customHeight="1" thickTop="1">
      <c r="A42" s="691"/>
      <c r="B42" s="691"/>
      <c r="C42" s="691"/>
      <c r="D42" s="691"/>
      <c r="E42" s="275"/>
      <c r="F42" s="275"/>
      <c r="G42" s="275"/>
      <c r="H42" s="275"/>
      <c r="I42" s="275"/>
      <c r="J42" s="275"/>
      <c r="K42" s="275"/>
    </row>
    <row r="43" spans="1:11" ht="21" customHeight="1">
      <c r="A43" s="691"/>
      <c r="B43" s="691"/>
      <c r="C43" s="691"/>
      <c r="D43" s="691"/>
      <c r="E43" s="275"/>
      <c r="F43" s="275"/>
      <c r="G43" s="275"/>
      <c r="H43" s="275"/>
      <c r="I43" s="275"/>
      <c r="J43" s="275"/>
      <c r="K43" s="275"/>
    </row>
    <row r="44" spans="1:11" ht="21" customHeight="1">
      <c r="A44" s="691"/>
      <c r="B44" s="691"/>
      <c r="C44" s="691"/>
      <c r="D44" s="691"/>
      <c r="E44" s="275"/>
      <c r="F44" s="275"/>
      <c r="G44" s="275"/>
      <c r="H44" s="275"/>
      <c r="I44" s="275"/>
      <c r="J44" s="275"/>
      <c r="K44" s="275"/>
    </row>
    <row r="45" spans="1:11" ht="21" customHeight="1">
      <c r="A45" s="323"/>
      <c r="B45" s="323"/>
      <c r="C45" s="323"/>
      <c r="D45" s="323"/>
    </row>
    <row r="46" spans="1:11" ht="21" customHeight="1">
      <c r="A46" s="323"/>
      <c r="B46" s="323"/>
      <c r="C46" s="323"/>
      <c r="D46" s="323"/>
    </row>
    <row r="47" spans="1:11" ht="21" customHeight="1">
      <c r="A47" s="323"/>
      <c r="B47" s="323"/>
      <c r="C47" s="323"/>
      <c r="D47" s="323"/>
    </row>
    <row r="48" spans="1:11" ht="21" customHeight="1">
      <c r="A48"/>
      <c r="B48"/>
      <c r="C48"/>
      <c r="D48"/>
      <c r="E48"/>
      <c r="F48"/>
    </row>
    <row r="49" spans="1:7" ht="31.5" customHeight="1">
      <c r="A49"/>
      <c r="B49"/>
      <c r="C49"/>
      <c r="D49"/>
      <c r="E49"/>
      <c r="F49"/>
      <c r="G49" s="206"/>
    </row>
    <row r="50" spans="1:7" ht="17.25" customHeight="1">
      <c r="A50"/>
      <c r="B50"/>
      <c r="C50"/>
      <c r="D50"/>
      <c r="E50"/>
      <c r="F50"/>
      <c r="G50" s="206"/>
    </row>
    <row r="51" spans="1:7" ht="40.5" customHeight="1">
      <c r="A51"/>
      <c r="B51"/>
      <c r="C51"/>
      <c r="D51"/>
      <c r="E51"/>
      <c r="F51"/>
      <c r="G51" s="206"/>
    </row>
    <row r="52" spans="1:7" ht="12" customHeight="1">
      <c r="A52"/>
      <c r="B52"/>
      <c r="C52"/>
      <c r="D52"/>
      <c r="E52"/>
      <c r="F52"/>
      <c r="G52" s="206"/>
    </row>
    <row r="53" spans="1:7" ht="18" customHeight="1">
      <c r="A53"/>
      <c r="B53"/>
      <c r="C53"/>
      <c r="D53"/>
      <c r="E53"/>
      <c r="F53"/>
      <c r="G53" s="206"/>
    </row>
    <row r="54" spans="1:7" ht="18" customHeight="1">
      <c r="A54"/>
      <c r="B54"/>
      <c r="C54"/>
      <c r="D54"/>
      <c r="E54"/>
      <c r="F54"/>
      <c r="G54" s="206"/>
    </row>
    <row r="55" spans="1:7" ht="18" customHeight="1">
      <c r="A55"/>
      <c r="B55"/>
      <c r="C55"/>
      <c r="D55"/>
      <c r="E55"/>
      <c r="F55"/>
      <c r="G55" s="206"/>
    </row>
    <row r="56" spans="1:7" ht="16.5" customHeight="1">
      <c r="A56"/>
      <c r="B56"/>
      <c r="C56"/>
      <c r="D56"/>
      <c r="E56"/>
      <c r="F56"/>
    </row>
    <row r="57" spans="1:7" ht="21" customHeight="1">
      <c r="A57"/>
      <c r="B57"/>
      <c r="C57"/>
      <c r="D57"/>
      <c r="E57"/>
      <c r="F57"/>
    </row>
    <row r="58" spans="1:7" ht="33" customHeight="1">
      <c r="A58"/>
      <c r="B58"/>
      <c r="C58"/>
      <c r="D58"/>
      <c r="E58"/>
      <c r="F58"/>
      <c r="G58" s="206"/>
    </row>
    <row r="59" spans="1:7" ht="17.25" customHeight="1">
      <c r="A59"/>
      <c r="B59"/>
      <c r="C59"/>
      <c r="D59"/>
      <c r="E59"/>
      <c r="F59"/>
      <c r="G59" s="206"/>
    </row>
    <row r="60" spans="1:7" ht="40.5" customHeight="1">
      <c r="A60"/>
      <c r="B60"/>
      <c r="C60"/>
      <c r="D60"/>
      <c r="E60"/>
      <c r="F60"/>
      <c r="G60" s="206"/>
    </row>
    <row r="61" spans="1:7" ht="12" customHeight="1">
      <c r="A61"/>
      <c r="B61"/>
      <c r="C61"/>
      <c r="D61"/>
      <c r="E61"/>
      <c r="F61"/>
      <c r="G61" s="206"/>
    </row>
    <row r="62" spans="1:7" ht="18" customHeight="1">
      <c r="A62"/>
      <c r="B62"/>
      <c r="C62"/>
      <c r="D62"/>
      <c r="E62"/>
      <c r="F62"/>
      <c r="G62" s="206"/>
    </row>
    <row r="63" spans="1:7" ht="18" customHeight="1">
      <c r="A63"/>
      <c r="B63"/>
      <c r="C63"/>
      <c r="D63"/>
      <c r="E63"/>
      <c r="F63"/>
      <c r="G63" s="206"/>
    </row>
    <row r="64" spans="1:7" ht="18" customHeight="1">
      <c r="A64"/>
      <c r="B64"/>
      <c r="C64"/>
      <c r="D64"/>
      <c r="E64"/>
      <c r="F64"/>
      <c r="G64" s="206"/>
    </row>
    <row r="65" spans="1:7" ht="20.25" customHeight="1">
      <c r="A65"/>
      <c r="B65"/>
      <c r="C65"/>
      <c r="D65"/>
      <c r="E65"/>
      <c r="F65"/>
      <c r="G65" s="206"/>
    </row>
    <row r="66" spans="1:7" ht="20.25" customHeight="1">
      <c r="A66"/>
      <c r="B66"/>
      <c r="C66"/>
      <c r="D66"/>
      <c r="E66"/>
      <c r="F66"/>
      <c r="G66" s="206"/>
    </row>
    <row r="67" spans="1:7" ht="15">
      <c r="A67"/>
      <c r="B67"/>
      <c r="C67"/>
      <c r="D67"/>
      <c r="E67"/>
      <c r="F67"/>
      <c r="G67" s="206"/>
    </row>
    <row r="68" spans="1:7" ht="15">
      <c r="A68"/>
      <c r="B68"/>
      <c r="C68"/>
      <c r="D68"/>
      <c r="E68"/>
      <c r="F68"/>
    </row>
    <row r="69" spans="1:7" ht="15">
      <c r="A69"/>
      <c r="B69"/>
      <c r="C69"/>
      <c r="D69"/>
      <c r="E69"/>
      <c r="F69"/>
    </row>
    <row r="70" spans="1:7" ht="15">
      <c r="A70"/>
      <c r="B70"/>
      <c r="C70"/>
      <c r="D70"/>
      <c r="E70"/>
      <c r="F70"/>
    </row>
    <row r="71" spans="1:7" ht="21" customHeight="1">
      <c r="A71"/>
      <c r="B71"/>
      <c r="C71"/>
      <c r="D71"/>
      <c r="E71"/>
      <c r="F71"/>
    </row>
    <row r="72" spans="1:7" ht="32.25" customHeight="1">
      <c r="A72"/>
      <c r="B72"/>
      <c r="C72"/>
      <c r="D72"/>
      <c r="E72"/>
      <c r="F72"/>
      <c r="G72" s="206"/>
    </row>
    <row r="73" spans="1:7" ht="17.25" customHeight="1">
      <c r="A73"/>
      <c r="B73"/>
      <c r="C73"/>
      <c r="D73"/>
      <c r="E73"/>
      <c r="F73"/>
      <c r="G73" s="206"/>
    </row>
    <row r="74" spans="1:7" ht="40.5" customHeight="1">
      <c r="A74"/>
      <c r="B74"/>
      <c r="C74"/>
      <c r="D74"/>
      <c r="E74"/>
      <c r="F74"/>
      <c r="G74" s="206"/>
    </row>
    <row r="75" spans="1:7" ht="12" customHeight="1">
      <c r="A75"/>
      <c r="B75"/>
      <c r="C75"/>
      <c r="D75"/>
      <c r="E75"/>
      <c r="F75"/>
      <c r="G75" s="206"/>
    </row>
    <row r="76" spans="1:7" ht="18" customHeight="1">
      <c r="A76"/>
      <c r="B76"/>
      <c r="C76"/>
      <c r="D76"/>
      <c r="E76"/>
      <c r="F76"/>
      <c r="G76" s="206"/>
    </row>
    <row r="77" spans="1:7" ht="18" customHeight="1">
      <c r="A77"/>
      <c r="B77"/>
      <c r="C77"/>
      <c r="D77"/>
      <c r="E77"/>
      <c r="F77"/>
      <c r="G77" s="206"/>
    </row>
    <row r="78" spans="1:7" ht="18" customHeight="1">
      <c r="A78"/>
      <c r="B78"/>
      <c r="C78"/>
      <c r="D78"/>
      <c r="E78"/>
      <c r="F78"/>
      <c r="G78" s="206"/>
    </row>
    <row r="79" spans="1:7" ht="15">
      <c r="A79"/>
      <c r="B79"/>
      <c r="C79"/>
      <c r="D79"/>
      <c r="E79"/>
      <c r="F79"/>
    </row>
  </sheetData>
  <mergeCells count="11">
    <mergeCell ref="C32:D32"/>
    <mergeCell ref="B15:B16"/>
    <mergeCell ref="C15:D16"/>
    <mergeCell ref="C17:D17"/>
    <mergeCell ref="B30:B31"/>
    <mergeCell ref="C30:D31"/>
    <mergeCell ref="C3:G3"/>
    <mergeCell ref="C4:G4"/>
    <mergeCell ref="B6:B7"/>
    <mergeCell ref="C6:D7"/>
    <mergeCell ref="C8:D8"/>
  </mergeCells>
  <phoneticPr fontId="0" type="noConversion"/>
  <hyperlinks>
    <hyperlink ref="C1" location="Spis!B26" display="&gt;&gt; powrót do spisu treści" xr:uid="{00000000-0004-0000-0700-000000000000}"/>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7">
    <pageSetUpPr fitToPage="1"/>
  </sheetPr>
  <dimension ref="A1:O1785"/>
  <sheetViews>
    <sheetView zoomScale="90" zoomScaleNormal="90" zoomScaleSheetLayoutView="75" workbookViewId="0">
      <pane ySplit="5" topLeftCell="A6" activePane="bottomLeft" state="frozen"/>
      <selection pane="bottomLeft" activeCell="C5" sqref="C5:I5"/>
    </sheetView>
  </sheetViews>
  <sheetFormatPr defaultColWidth="8.90625" defaultRowHeight="13.2"/>
  <cols>
    <col min="1" max="1" width="3.81640625" style="112" customWidth="1"/>
    <col min="2" max="2" width="4.81640625" style="112" customWidth="1"/>
    <col min="3" max="3" width="66.81640625" style="138" customWidth="1"/>
    <col min="4" max="4" width="12.81640625" style="144" customWidth="1"/>
    <col min="5" max="5" width="15.81640625" style="112" customWidth="1"/>
    <col min="6" max="12" width="10.81640625" style="112" customWidth="1"/>
    <col min="13" max="13" width="13.453125" style="112" customWidth="1"/>
    <col min="14" max="16384" width="8.90625" style="112"/>
  </cols>
  <sheetData>
    <row r="1" spans="1:15" ht="15">
      <c r="A1" s="36"/>
      <c r="B1" s="131"/>
      <c r="C1" s="946" t="s">
        <v>10</v>
      </c>
      <c r="D1" s="132"/>
      <c r="E1" s="131"/>
      <c r="F1" s="131"/>
      <c r="G1" s="131"/>
      <c r="H1" s="131"/>
      <c r="I1" s="131"/>
      <c r="J1" s="869"/>
      <c r="K1" s="869"/>
      <c r="L1" s="879"/>
      <c r="M1" s="879"/>
    </row>
    <row r="2" spans="1:15" ht="15">
      <c r="A2" s="36"/>
      <c r="B2" s="131"/>
      <c r="C2" s="38"/>
      <c r="D2" s="132"/>
      <c r="E2" s="131"/>
      <c r="F2" s="131"/>
      <c r="G2" s="131"/>
      <c r="H2" s="131"/>
      <c r="I2" s="131"/>
      <c r="J2" s="869"/>
      <c r="K2" s="869"/>
      <c r="L2" s="879"/>
      <c r="M2" s="879"/>
    </row>
    <row r="3" spans="1:15" ht="17.399999999999999">
      <c r="A3" s="36"/>
      <c r="B3" s="145" t="s">
        <v>64</v>
      </c>
      <c r="C3" s="145"/>
      <c r="D3" s="145"/>
      <c r="E3" s="146"/>
      <c r="F3" s="131"/>
      <c r="G3" s="131"/>
      <c r="H3" s="131"/>
      <c r="I3" s="131"/>
      <c r="J3" s="869"/>
      <c r="K3" s="869"/>
      <c r="L3" s="879"/>
      <c r="M3" s="879"/>
    </row>
    <row r="4" spans="1:15" ht="18.899999999999999" customHeight="1">
      <c r="A4" s="36"/>
      <c r="B4" s="145"/>
      <c r="C4" s="145"/>
      <c r="D4" s="145"/>
      <c r="E4" s="146"/>
      <c r="F4" s="131"/>
      <c r="G4" s="131"/>
      <c r="H4" s="131"/>
      <c r="I4" s="131"/>
      <c r="J4" s="869"/>
      <c r="K4" s="869"/>
      <c r="L4" s="879"/>
      <c r="M4" s="879"/>
    </row>
    <row r="5" spans="1:15" ht="24.9" customHeight="1">
      <c r="A5" s="36"/>
      <c r="B5" s="858" t="s">
        <v>14</v>
      </c>
      <c r="C5" s="1041" t="s">
        <v>283</v>
      </c>
      <c r="D5" s="1008"/>
      <c r="E5" s="1008"/>
      <c r="F5" s="1008"/>
      <c r="G5" s="1008"/>
      <c r="H5" s="1008"/>
      <c r="I5" s="1008"/>
      <c r="J5" s="882"/>
      <c r="K5" s="882"/>
      <c r="L5" s="880"/>
      <c r="M5" s="879"/>
    </row>
    <row r="6" spans="1:15" ht="30" customHeight="1" thickBot="1">
      <c r="A6" s="35"/>
      <c r="B6" s="202" t="s">
        <v>170</v>
      </c>
      <c r="C6" s="135"/>
      <c r="D6" s="136"/>
      <c r="E6" s="35"/>
      <c r="F6" s="35"/>
      <c r="G6" s="35"/>
      <c r="H6" s="35"/>
      <c r="I6" s="35"/>
      <c r="J6" s="869"/>
      <c r="K6" s="869"/>
      <c r="L6" s="879"/>
      <c r="M6" s="879"/>
    </row>
    <row r="7" spans="1:15" s="138" customFormat="1" ht="18.899999999999999" customHeight="1">
      <c r="A7" s="37"/>
      <c r="B7" s="996" t="str">
        <f>'Tab.G1.1-4'!$B$8</f>
        <v>LP</v>
      </c>
      <c r="C7" s="1003" t="str">
        <f>'Tab.G1.1-4'!$C$8</f>
        <v>Wyszczególnienie</v>
      </c>
      <c r="D7" s="999"/>
      <c r="E7" s="632" t="str">
        <f>'Tab.G1.1-4'!$E$8</f>
        <v>Wykonanie</v>
      </c>
      <c r="F7" s="709"/>
      <c r="G7" s="709"/>
      <c r="H7" s="709"/>
      <c r="I7" s="709"/>
      <c r="J7" s="709"/>
      <c r="K7" s="709"/>
      <c r="L7" s="881"/>
      <c r="M7" s="881"/>
      <c r="N7"/>
      <c r="O7"/>
    </row>
    <row r="8" spans="1:15" s="138" customFormat="1" ht="18.899999999999999" customHeight="1">
      <c r="A8" s="137"/>
      <c r="B8" s="997"/>
      <c r="C8" s="1004"/>
      <c r="D8" s="1001"/>
      <c r="E8" s="633">
        <f>Rok_ZPR</f>
        <v>2020</v>
      </c>
      <c r="F8" s="709"/>
      <c r="G8" s="709"/>
      <c r="H8" s="709"/>
      <c r="I8" s="709"/>
      <c r="J8" s="709"/>
      <c r="K8" s="709"/>
      <c r="L8" s="881"/>
      <c r="M8" s="881"/>
      <c r="N8"/>
      <c r="O8"/>
    </row>
    <row r="9" spans="1:15" ht="14.1" customHeight="1" thickBot="1">
      <c r="A9" s="139"/>
      <c r="B9" s="649" t="str">
        <f t="array" ref="B9:B66">Tab.G17!$B$10:$B$67</f>
        <v>01</v>
      </c>
      <c r="C9" s="994" t="str">
        <f>Tab.G17!$B$11</f>
        <v>02</v>
      </c>
      <c r="D9" s="995"/>
      <c r="E9" s="650" t="str">
        <f>Tab.G17!$B$12</f>
        <v>03</v>
      </c>
      <c r="F9" s="709"/>
      <c r="G9" s="709"/>
      <c r="H9" s="709"/>
      <c r="I9" s="709"/>
      <c r="J9" s="709"/>
      <c r="K9" s="709"/>
      <c r="L9" s="881"/>
      <c r="M9" s="881"/>
      <c r="N9"/>
      <c r="O9"/>
    </row>
    <row r="10" spans="1:15" ht="18.899999999999999" customHeight="1" thickBot="1">
      <c r="A10" s="133"/>
      <c r="B10" s="646" t="str">
        <v>02</v>
      </c>
      <c r="C10" s="1" t="s">
        <v>116</v>
      </c>
      <c r="D10" s="2" t="str">
        <f>'Tab.G1.1-4'!$D$11</f>
        <v>[tys. zł]</v>
      </c>
      <c r="E10" s="149">
        <f>SUM(E11,E22,E38)</f>
        <v>0</v>
      </c>
      <c r="F10" s="709"/>
      <c r="G10" s="709"/>
      <c r="H10" s="709"/>
      <c r="I10" s="709"/>
      <c r="J10" s="709"/>
      <c r="K10" s="709"/>
      <c r="L10"/>
      <c r="M10"/>
      <c r="N10"/>
      <c r="O10"/>
    </row>
    <row r="11" spans="1:15" ht="18.899999999999999" customHeight="1" thickBot="1">
      <c r="A11" s="133"/>
      <c r="B11" s="638" t="str">
        <v>03</v>
      </c>
      <c r="C11" s="3" t="s">
        <v>124</v>
      </c>
      <c r="D11" s="4" t="str">
        <f>'Tab.G1.1-4'!$D$11</f>
        <v>[tys. zł]</v>
      </c>
      <c r="E11" s="150">
        <f>SUM(E12,E17)</f>
        <v>0</v>
      </c>
      <c r="F11" s="709"/>
      <c r="G11" s="709"/>
      <c r="H11" s="709"/>
      <c r="I11" s="709"/>
      <c r="J11" s="709"/>
      <c r="K11" s="709"/>
      <c r="L11"/>
      <c r="M11"/>
      <c r="N11"/>
      <c r="O11"/>
    </row>
    <row r="12" spans="1:15" ht="18.899999999999999" customHeight="1">
      <c r="A12" s="35"/>
      <c r="B12" s="639" t="str">
        <v>04</v>
      </c>
      <c r="C12" s="261" t="s">
        <v>75</v>
      </c>
      <c r="D12" s="5" t="str">
        <f>'Tab.G1.1-4'!$D$11</f>
        <v>[tys. zł]</v>
      </c>
      <c r="E12" s="151">
        <f>SUM(E13:E16)</f>
        <v>0</v>
      </c>
      <c r="F12" s="709"/>
      <c r="G12" s="709"/>
      <c r="H12" s="709"/>
      <c r="I12" s="709"/>
      <c r="J12" s="709"/>
      <c r="K12" s="709"/>
      <c r="L12"/>
      <c r="M12"/>
      <c r="N12"/>
      <c r="O12"/>
    </row>
    <row r="13" spans="1:15" ht="18.899999999999999" customHeight="1">
      <c r="A13" s="35"/>
      <c r="B13" s="640" t="str">
        <v>05</v>
      </c>
      <c r="C13" s="263" t="s">
        <v>76</v>
      </c>
      <c r="D13" s="6" t="str">
        <f>'Tab.G1.1-4'!$D$11</f>
        <v>[tys. zł]</v>
      </c>
      <c r="E13" s="152"/>
      <c r="F13" s="709"/>
      <c r="G13" s="709"/>
      <c r="H13" s="709"/>
      <c r="I13" s="709"/>
      <c r="J13" s="709"/>
      <c r="K13" s="709"/>
      <c r="L13"/>
      <c r="M13"/>
      <c r="N13"/>
      <c r="O13"/>
    </row>
    <row r="14" spans="1:15" ht="18.899999999999999" customHeight="1">
      <c r="A14" s="35"/>
      <c r="B14" s="641" t="str">
        <v>06</v>
      </c>
      <c r="C14" s="264" t="s">
        <v>77</v>
      </c>
      <c r="D14" s="7" t="str">
        <f>'Tab.G1.1-4'!$D$11</f>
        <v>[tys. zł]</v>
      </c>
      <c r="E14" s="153"/>
      <c r="F14" s="709"/>
      <c r="G14" s="709"/>
      <c r="H14" s="709"/>
      <c r="I14" s="709"/>
      <c r="J14" s="709"/>
      <c r="K14" s="709"/>
      <c r="L14"/>
      <c r="M14"/>
      <c r="N14"/>
      <c r="O14"/>
    </row>
    <row r="15" spans="1:15" ht="18.899999999999999" customHeight="1">
      <c r="A15" s="133"/>
      <c r="B15" s="641" t="str">
        <v>07</v>
      </c>
      <c r="C15" s="264" t="s">
        <v>78</v>
      </c>
      <c r="D15" s="7" t="str">
        <f>'Tab.G1.1-4'!$D$11</f>
        <v>[tys. zł]</v>
      </c>
      <c r="E15" s="153"/>
      <c r="F15" s="709"/>
      <c r="G15" s="709"/>
      <c r="H15" s="709"/>
      <c r="I15" s="709"/>
      <c r="J15" s="709"/>
      <c r="K15" s="709"/>
      <c r="L15"/>
      <c r="M15"/>
      <c r="N15"/>
      <c r="O15"/>
    </row>
    <row r="16" spans="1:15" ht="18.899999999999999" customHeight="1">
      <c r="A16" s="133"/>
      <c r="B16" s="642" t="str">
        <v>08</v>
      </c>
      <c r="C16" s="267" t="s">
        <v>79</v>
      </c>
      <c r="D16" s="8" t="str">
        <f>'Tab.G1.1-4'!$D$11</f>
        <v>[tys. zł]</v>
      </c>
      <c r="E16" s="154"/>
      <c r="F16" s="709"/>
      <c r="G16" s="709"/>
      <c r="H16" s="709"/>
      <c r="I16" s="709"/>
      <c r="J16" s="709"/>
      <c r="K16" s="709"/>
      <c r="L16"/>
      <c r="M16"/>
      <c r="N16"/>
      <c r="O16"/>
    </row>
    <row r="17" spans="1:15" ht="18.899999999999999" customHeight="1">
      <c r="A17" s="133"/>
      <c r="B17" s="643" t="str">
        <v>09</v>
      </c>
      <c r="C17" s="262" t="s">
        <v>80</v>
      </c>
      <c r="D17" s="9" t="str">
        <f>'Tab.G1.1-4'!$D$11</f>
        <v>[tys. zł]</v>
      </c>
      <c r="E17" s="155">
        <f>SUM(E18:E21)</f>
        <v>0</v>
      </c>
      <c r="F17" s="709"/>
      <c r="G17" s="709"/>
      <c r="H17" s="709"/>
      <c r="I17" s="709"/>
      <c r="J17" s="709"/>
      <c r="K17" s="709"/>
      <c r="L17"/>
      <c r="M17"/>
      <c r="N17"/>
      <c r="O17"/>
    </row>
    <row r="18" spans="1:15" ht="18.899999999999999" customHeight="1">
      <c r="A18" s="133"/>
      <c r="B18" s="640" t="str">
        <v>10</v>
      </c>
      <c r="C18" s="263" t="s">
        <v>76</v>
      </c>
      <c r="D18" s="6" t="str">
        <f>'Tab.G1.1-4'!$D$11</f>
        <v>[tys. zł]</v>
      </c>
      <c r="E18" s="152"/>
      <c r="F18" s="709"/>
      <c r="G18" s="709"/>
      <c r="H18" s="709"/>
      <c r="I18" s="709"/>
      <c r="J18" s="709"/>
      <c r="K18" s="709"/>
      <c r="L18"/>
      <c r="M18"/>
      <c r="N18"/>
      <c r="O18"/>
    </row>
    <row r="19" spans="1:15" ht="18.899999999999999" customHeight="1">
      <c r="A19" s="133"/>
      <c r="B19" s="641" t="str">
        <v>11</v>
      </c>
      <c r="C19" s="264" t="s">
        <v>77</v>
      </c>
      <c r="D19" s="7" t="str">
        <f>'Tab.G1.1-4'!$D$11</f>
        <v>[tys. zł]</v>
      </c>
      <c r="E19" s="153"/>
      <c r="F19" s="709"/>
      <c r="G19" s="709"/>
      <c r="H19" s="709"/>
      <c r="I19" s="709"/>
      <c r="J19" s="709"/>
      <c r="K19" s="709"/>
      <c r="L19"/>
      <c r="M19"/>
      <c r="N19"/>
      <c r="O19"/>
    </row>
    <row r="20" spans="1:15" ht="18.899999999999999" customHeight="1">
      <c r="A20" s="133"/>
      <c r="B20" s="641" t="str">
        <v>12</v>
      </c>
      <c r="C20" s="264" t="s">
        <v>78</v>
      </c>
      <c r="D20" s="7" t="str">
        <f>'Tab.G1.1-4'!$D$11</f>
        <v>[tys. zł]</v>
      </c>
      <c r="E20" s="153"/>
      <c r="F20" s="709"/>
      <c r="G20" s="709"/>
      <c r="H20" s="709"/>
      <c r="I20" s="709"/>
      <c r="J20" s="709"/>
      <c r="K20" s="709"/>
      <c r="L20"/>
      <c r="M20"/>
      <c r="N20"/>
      <c r="O20"/>
    </row>
    <row r="21" spans="1:15" ht="18.899999999999999" customHeight="1" thickBot="1">
      <c r="A21" s="133"/>
      <c r="B21" s="644" t="str">
        <v>13</v>
      </c>
      <c r="C21" s="268" t="s">
        <v>79</v>
      </c>
      <c r="D21" s="10" t="str">
        <f>'Tab.G1.1-4'!$D$11</f>
        <v>[tys. zł]</v>
      </c>
      <c r="E21" s="156"/>
      <c r="F21" s="709"/>
      <c r="G21" s="709"/>
      <c r="H21" s="709"/>
      <c r="I21" s="709"/>
      <c r="J21" s="709"/>
      <c r="K21" s="709"/>
      <c r="L21"/>
      <c r="M21"/>
      <c r="N21"/>
      <c r="O21"/>
    </row>
    <row r="22" spans="1:15" ht="18.899999999999999" customHeight="1" thickBot="1">
      <c r="A22" s="133"/>
      <c r="B22" s="638" t="str">
        <v>14</v>
      </c>
      <c r="C22" s="11" t="s">
        <v>125</v>
      </c>
      <c r="D22" s="4" t="str">
        <f>'Tab.G1.1-4'!$D$11</f>
        <v>[tys. zł]</v>
      </c>
      <c r="E22" s="150">
        <f>SUM(E23,E28,E33)</f>
        <v>0</v>
      </c>
      <c r="F22" s="709"/>
      <c r="G22" s="709"/>
      <c r="H22" s="709"/>
      <c r="I22" s="709"/>
      <c r="J22" s="709"/>
      <c r="K22" s="709"/>
      <c r="L22"/>
      <c r="M22"/>
      <c r="N22"/>
      <c r="O22"/>
    </row>
    <row r="23" spans="1:15" ht="18.899999999999999" customHeight="1">
      <c r="A23" s="133"/>
      <c r="B23" s="639" t="str">
        <v>15</v>
      </c>
      <c r="C23" s="261" t="s">
        <v>75</v>
      </c>
      <c r="D23" s="5" t="str">
        <f>'Tab.G1.1-4'!$D$11</f>
        <v>[tys. zł]</v>
      </c>
      <c r="E23" s="151">
        <f>SUM(E24:E27)</f>
        <v>0</v>
      </c>
      <c r="F23" s="709"/>
      <c r="G23" s="709"/>
      <c r="H23" s="709"/>
      <c r="I23" s="709"/>
      <c r="J23" s="709"/>
      <c r="K23" s="709"/>
      <c r="L23"/>
      <c r="M23"/>
      <c r="N23"/>
      <c r="O23"/>
    </row>
    <row r="24" spans="1:15" ht="18.899999999999999" customHeight="1">
      <c r="A24" s="133"/>
      <c r="B24" s="640" t="str">
        <v>16</v>
      </c>
      <c r="C24" s="263" t="s">
        <v>81</v>
      </c>
      <c r="D24" s="6" t="str">
        <f>'Tab.G1.1-4'!$D$11</f>
        <v>[tys. zł]</v>
      </c>
      <c r="E24" s="152"/>
      <c r="F24" s="709"/>
      <c r="G24" s="709"/>
      <c r="H24" s="709"/>
      <c r="I24" s="709"/>
      <c r="J24" s="709"/>
      <c r="K24" s="709"/>
      <c r="L24"/>
      <c r="M24"/>
      <c r="N24"/>
      <c r="O24"/>
    </row>
    <row r="25" spans="1:15" ht="18.899999999999999" customHeight="1">
      <c r="A25" s="133"/>
      <c r="B25" s="641" t="str">
        <v>17</v>
      </c>
      <c r="C25" s="264" t="s">
        <v>78</v>
      </c>
      <c r="D25" s="7" t="str">
        <f>'Tab.G1.1-4'!$D$11</f>
        <v>[tys. zł]</v>
      </c>
      <c r="E25" s="153"/>
      <c r="F25" s="709"/>
      <c r="G25" s="709"/>
      <c r="H25" s="709"/>
      <c r="I25" s="709"/>
      <c r="J25" s="709"/>
      <c r="K25" s="709"/>
      <c r="L25"/>
      <c r="M25"/>
      <c r="N25"/>
      <c r="O25"/>
    </row>
    <row r="26" spans="1:15" ht="18.899999999999999" customHeight="1">
      <c r="A26" s="133"/>
      <c r="B26" s="641" t="str">
        <v>18</v>
      </c>
      <c r="C26" s="265" t="s">
        <v>82</v>
      </c>
      <c r="D26" s="7" t="str">
        <f>'Tab.G1.1-4'!$D$11</f>
        <v>[tys. zł]</v>
      </c>
      <c r="E26" s="153"/>
      <c r="F26" s="709"/>
      <c r="G26" s="709"/>
      <c r="H26" s="709"/>
      <c r="I26" s="709"/>
      <c r="J26" s="709"/>
      <c r="K26" s="709"/>
      <c r="L26"/>
      <c r="M26"/>
      <c r="N26"/>
      <c r="O26"/>
    </row>
    <row r="27" spans="1:15" ht="18.899999999999999" customHeight="1">
      <c r="A27" s="133"/>
      <c r="B27" s="642" t="str">
        <v>19</v>
      </c>
      <c r="C27" s="267" t="s">
        <v>83</v>
      </c>
      <c r="D27" s="8" t="str">
        <f>'Tab.G1.1-4'!$D$11</f>
        <v>[tys. zł]</v>
      </c>
      <c r="E27" s="154"/>
      <c r="F27" s="709"/>
      <c r="G27" s="709"/>
      <c r="H27" s="709"/>
      <c r="I27" s="709"/>
      <c r="J27" s="709"/>
      <c r="K27" s="709"/>
      <c r="L27"/>
      <c r="M27"/>
      <c r="N27"/>
      <c r="O27"/>
    </row>
    <row r="28" spans="1:15" ht="18.899999999999999" customHeight="1">
      <c r="A28" s="133"/>
      <c r="B28" s="643" t="str">
        <v>20</v>
      </c>
      <c r="C28" s="262" t="s">
        <v>80</v>
      </c>
      <c r="D28" s="9" t="str">
        <f>'Tab.G1.1-4'!$D$11</f>
        <v>[tys. zł]</v>
      </c>
      <c r="E28" s="155">
        <f>SUM(E29:E32)</f>
        <v>0</v>
      </c>
      <c r="F28" s="709"/>
      <c r="G28" s="709"/>
      <c r="H28" s="709"/>
      <c r="I28" s="709"/>
      <c r="J28" s="709"/>
      <c r="K28" s="709"/>
      <c r="L28"/>
      <c r="M28"/>
      <c r="N28"/>
      <c r="O28"/>
    </row>
    <row r="29" spans="1:15" ht="18.899999999999999" customHeight="1">
      <c r="A29" s="133"/>
      <c r="B29" s="640" t="str">
        <v>21</v>
      </c>
      <c r="C29" s="263" t="s">
        <v>81</v>
      </c>
      <c r="D29" s="6" t="str">
        <f>'Tab.G1.1-4'!$D$11</f>
        <v>[tys. zł]</v>
      </c>
      <c r="E29" s="152"/>
      <c r="F29" s="709"/>
      <c r="G29" s="709"/>
      <c r="H29" s="709"/>
      <c r="I29" s="709"/>
      <c r="J29" s="709"/>
      <c r="K29" s="709"/>
      <c r="L29"/>
      <c r="M29"/>
      <c r="N29"/>
      <c r="O29"/>
    </row>
    <row r="30" spans="1:15" ht="18.899999999999999" customHeight="1">
      <c r="A30" s="133"/>
      <c r="B30" s="641" t="str">
        <v>22</v>
      </c>
      <c r="C30" s="264" t="s">
        <v>78</v>
      </c>
      <c r="D30" s="7" t="str">
        <f>'Tab.G1.1-4'!$D$11</f>
        <v>[tys. zł]</v>
      </c>
      <c r="E30" s="153"/>
      <c r="F30" s="709"/>
      <c r="G30" s="709"/>
      <c r="H30" s="709"/>
      <c r="I30" s="709"/>
      <c r="J30" s="709"/>
      <c r="K30" s="709"/>
      <c r="L30"/>
      <c r="M30"/>
      <c r="N30"/>
      <c r="O30"/>
    </row>
    <row r="31" spans="1:15" ht="18.899999999999999" customHeight="1">
      <c r="A31" s="133"/>
      <c r="B31" s="641" t="str">
        <v>23</v>
      </c>
      <c r="C31" s="265" t="s">
        <v>82</v>
      </c>
      <c r="D31" s="7" t="str">
        <f>'Tab.G1.1-4'!$D$11</f>
        <v>[tys. zł]</v>
      </c>
      <c r="E31" s="153"/>
      <c r="F31" s="709"/>
      <c r="G31" s="709"/>
      <c r="H31" s="709"/>
      <c r="I31" s="709"/>
      <c r="J31" s="709"/>
      <c r="K31" s="709"/>
      <c r="L31"/>
      <c r="M31"/>
      <c r="N31"/>
      <c r="O31"/>
    </row>
    <row r="32" spans="1:15" ht="18.899999999999999" customHeight="1">
      <c r="A32" s="133"/>
      <c r="B32" s="645" t="str">
        <v>24</v>
      </c>
      <c r="C32" s="338" t="s">
        <v>83</v>
      </c>
      <c r="D32" s="270" t="str">
        <f>'Tab.G1.1-4'!$D$11</f>
        <v>[tys. zł]</v>
      </c>
      <c r="E32" s="271"/>
      <c r="F32" s="709"/>
      <c r="G32" s="709"/>
      <c r="H32" s="709"/>
      <c r="I32" s="709"/>
      <c r="J32" s="709"/>
      <c r="K32" s="709"/>
      <c r="L32"/>
      <c r="M32"/>
      <c r="N32"/>
      <c r="O32"/>
    </row>
    <row r="33" spans="1:15" ht="18.899999999999999" customHeight="1">
      <c r="A33" s="133"/>
      <c r="B33" s="643" t="str">
        <v>25</v>
      </c>
      <c r="C33" s="262" t="s">
        <v>171</v>
      </c>
      <c r="D33" s="9" t="str">
        <f>'Tab.G1.1-4'!$D$11</f>
        <v>[tys. zł]</v>
      </c>
      <c r="E33" s="155">
        <f>SUM(E34:E37)</f>
        <v>0</v>
      </c>
      <c r="F33" s="709"/>
      <c r="G33" s="709"/>
      <c r="H33" s="709"/>
      <c r="I33" s="709"/>
      <c r="J33" s="709"/>
      <c r="K33" s="709"/>
      <c r="L33"/>
      <c r="M33"/>
      <c r="N33"/>
      <c r="O33"/>
    </row>
    <row r="34" spans="1:15" ht="18.899999999999999" customHeight="1">
      <c r="A34" s="133"/>
      <c r="B34" s="640" t="str">
        <v>26</v>
      </c>
      <c r="C34" s="263" t="s">
        <v>81</v>
      </c>
      <c r="D34" s="6" t="str">
        <f>'Tab.G1.1-4'!$D$11</f>
        <v>[tys. zł]</v>
      </c>
      <c r="E34" s="152"/>
      <c r="F34" s="709"/>
      <c r="G34" s="709"/>
      <c r="H34" s="709"/>
      <c r="I34" s="709"/>
      <c r="J34" s="709"/>
      <c r="K34" s="709"/>
      <c r="L34"/>
      <c r="M34"/>
      <c r="N34"/>
      <c r="O34"/>
    </row>
    <row r="35" spans="1:15" ht="18.899999999999999" customHeight="1">
      <c r="A35" s="133"/>
      <c r="B35" s="641" t="str">
        <v>27</v>
      </c>
      <c r="C35" s="264" t="s">
        <v>78</v>
      </c>
      <c r="D35" s="7" t="str">
        <f>'Tab.G1.1-4'!$D$11</f>
        <v>[tys. zł]</v>
      </c>
      <c r="E35" s="153"/>
      <c r="F35" s="709"/>
      <c r="G35" s="709"/>
      <c r="H35" s="709"/>
      <c r="I35" s="709"/>
      <c r="J35" s="709"/>
      <c r="K35" s="709"/>
      <c r="L35"/>
      <c r="M35"/>
      <c r="N35"/>
      <c r="O35"/>
    </row>
    <row r="36" spans="1:15" ht="18.899999999999999" customHeight="1">
      <c r="A36" s="133"/>
      <c r="B36" s="641" t="str">
        <v>28</v>
      </c>
      <c r="C36" s="265" t="s">
        <v>82</v>
      </c>
      <c r="D36" s="7" t="str">
        <f>'Tab.G1.1-4'!$D$11</f>
        <v>[tys. zł]</v>
      </c>
      <c r="E36" s="153"/>
      <c r="F36" s="709"/>
      <c r="G36" s="709"/>
      <c r="H36" s="709"/>
      <c r="I36" s="709"/>
      <c r="J36" s="709"/>
      <c r="K36" s="709"/>
      <c r="L36"/>
      <c r="M36"/>
      <c r="N36"/>
      <c r="O36"/>
    </row>
    <row r="37" spans="1:15" ht="18.899999999999999" customHeight="1" thickBot="1">
      <c r="A37" s="133"/>
      <c r="B37" s="642" t="str">
        <v>29</v>
      </c>
      <c r="C37" s="267" t="s">
        <v>83</v>
      </c>
      <c r="D37" s="8" t="str">
        <f>'Tab.G1.1-4'!$D$11</f>
        <v>[tys. zł]</v>
      </c>
      <c r="E37" s="154"/>
      <c r="F37" s="709"/>
      <c r="G37" s="709"/>
      <c r="H37" s="709"/>
      <c r="I37" s="709"/>
      <c r="J37" s="709"/>
      <c r="K37" s="709"/>
      <c r="L37"/>
      <c r="M37"/>
      <c r="N37"/>
      <c r="O37"/>
    </row>
    <row r="38" spans="1:15" ht="18.899999999999999" customHeight="1" thickBot="1">
      <c r="A38" s="133"/>
      <c r="B38" s="638" t="str">
        <v>30</v>
      </c>
      <c r="C38" s="11" t="s">
        <v>172</v>
      </c>
      <c r="D38" s="4" t="str">
        <f>'Tab.G1.1-4'!$D$11</f>
        <v>[tys. zł]</v>
      </c>
      <c r="E38" s="150"/>
      <c r="F38" s="709"/>
      <c r="G38" s="709"/>
      <c r="H38" s="709"/>
      <c r="I38" s="709"/>
      <c r="J38" s="709"/>
      <c r="K38" s="709"/>
      <c r="L38"/>
      <c r="M38"/>
      <c r="N38"/>
      <c r="O38"/>
    </row>
    <row r="39" spans="1:15" ht="18.899999999999999" customHeight="1" thickBot="1">
      <c r="A39" s="133"/>
      <c r="B39" s="646" t="str">
        <v>31</v>
      </c>
      <c r="C39" s="1" t="s">
        <v>117</v>
      </c>
      <c r="D39" s="2" t="str">
        <f>'Tab.G1.1-4'!$D$11</f>
        <v>[tys. zł]</v>
      </c>
      <c r="E39" s="149">
        <f>SUM(E40,E44,E48,E52:E53)</f>
        <v>0</v>
      </c>
      <c r="F39" s="709"/>
      <c r="G39" s="709"/>
      <c r="H39" s="709"/>
      <c r="I39" s="709"/>
      <c r="J39" s="709"/>
      <c r="K39" s="709"/>
      <c r="L39"/>
      <c r="M39"/>
      <c r="N39"/>
      <c r="O39"/>
    </row>
    <row r="40" spans="1:15" ht="18.899999999999999" customHeight="1">
      <c r="A40" s="133"/>
      <c r="B40" s="639" t="str">
        <v>32</v>
      </c>
      <c r="C40" s="12" t="s">
        <v>119</v>
      </c>
      <c r="D40" s="5" t="str">
        <f>'Tab.G1.1-4'!$D$11</f>
        <v>[tys. zł]</v>
      </c>
      <c r="E40" s="151">
        <f>SUM(E41:E43)</f>
        <v>0</v>
      </c>
      <c r="F40" s="709"/>
      <c r="G40" s="709"/>
      <c r="H40" s="709"/>
      <c r="I40" s="709"/>
      <c r="J40" s="709"/>
      <c r="K40" s="709"/>
      <c r="L40"/>
      <c r="M40"/>
      <c r="N40"/>
      <c r="O40"/>
    </row>
    <row r="41" spans="1:15" ht="18.899999999999999" customHeight="1">
      <c r="A41" s="133"/>
      <c r="B41" s="640" t="str">
        <v>33</v>
      </c>
      <c r="C41" s="263" t="s">
        <v>88</v>
      </c>
      <c r="D41" s="6" t="str">
        <f>'Tab.G1.1-4'!$D$11</f>
        <v>[tys. zł]</v>
      </c>
      <c r="E41" s="152"/>
      <c r="F41" s="709"/>
      <c r="G41" s="709"/>
      <c r="H41" s="709"/>
      <c r="I41" s="709"/>
      <c r="J41" s="709"/>
      <c r="K41" s="709"/>
      <c r="L41"/>
      <c r="M41"/>
      <c r="N41"/>
      <c r="O41"/>
    </row>
    <row r="42" spans="1:15" ht="18.899999999999999" customHeight="1">
      <c r="A42" s="133"/>
      <c r="B42" s="641" t="str">
        <v>34</v>
      </c>
      <c r="C42" s="264" t="s">
        <v>89</v>
      </c>
      <c r="D42" s="7" t="str">
        <f>'Tab.G1.1-4'!$D$11</f>
        <v>[tys. zł]</v>
      </c>
      <c r="E42" s="153"/>
      <c r="F42" s="709"/>
      <c r="G42" s="709"/>
      <c r="H42" s="709"/>
      <c r="I42" s="709"/>
      <c r="J42" s="709"/>
      <c r="K42" s="709"/>
      <c r="L42"/>
      <c r="M42"/>
      <c r="N42"/>
      <c r="O42"/>
    </row>
    <row r="43" spans="1:15" ht="18.899999999999999" customHeight="1">
      <c r="A43" s="133"/>
      <c r="B43" s="642" t="str">
        <v>35</v>
      </c>
      <c r="C43" s="272" t="s">
        <v>90</v>
      </c>
      <c r="D43" s="8" t="str">
        <f>'Tab.G1.1-4'!$D$11</f>
        <v>[tys. zł]</v>
      </c>
      <c r="E43" s="154"/>
      <c r="F43" s="709"/>
      <c r="G43" s="709"/>
      <c r="H43" s="709"/>
      <c r="I43" s="709"/>
      <c r="J43" s="709"/>
      <c r="K43" s="709"/>
      <c r="L43"/>
      <c r="M43"/>
      <c r="N43"/>
      <c r="O43"/>
    </row>
    <row r="44" spans="1:15" ht="18.899999999999999" customHeight="1">
      <c r="A44" s="133"/>
      <c r="B44" s="643" t="str">
        <v>36</v>
      </c>
      <c r="C44" s="13" t="s">
        <v>120</v>
      </c>
      <c r="D44" s="9" t="str">
        <f>'Tab.G1.1-4'!$D$11</f>
        <v>[tys. zł]</v>
      </c>
      <c r="E44" s="155">
        <f>SUM(E45:E47)</f>
        <v>0</v>
      </c>
      <c r="F44" s="709"/>
      <c r="G44" s="709"/>
      <c r="H44" s="709"/>
      <c r="I44" s="709"/>
      <c r="J44" s="709"/>
      <c r="K44" s="709"/>
      <c r="L44"/>
      <c r="M44"/>
      <c r="N44"/>
      <c r="O44"/>
    </row>
    <row r="45" spans="1:15" ht="18.899999999999999" customHeight="1">
      <c r="A45" s="133"/>
      <c r="B45" s="640" t="str">
        <v>37</v>
      </c>
      <c r="C45" s="263" t="s">
        <v>91</v>
      </c>
      <c r="D45" s="6" t="str">
        <f>'Tab.G1.1-4'!$D$11</f>
        <v>[tys. zł]</v>
      </c>
      <c r="E45" s="152"/>
      <c r="F45" s="709"/>
      <c r="G45" s="709"/>
      <c r="H45" s="709"/>
      <c r="I45" s="709"/>
      <c r="J45" s="709"/>
      <c r="K45" s="709"/>
      <c r="L45"/>
      <c r="M45"/>
      <c r="N45"/>
      <c r="O45"/>
    </row>
    <row r="46" spans="1:15" ht="18.899999999999999" customHeight="1">
      <c r="A46" s="133"/>
      <c r="B46" s="641" t="str">
        <v>38</v>
      </c>
      <c r="C46" s="265" t="s">
        <v>92</v>
      </c>
      <c r="D46" s="7" t="str">
        <f>'Tab.G1.1-4'!$D$11</f>
        <v>[tys. zł]</v>
      </c>
      <c r="E46" s="153"/>
      <c r="F46" s="709"/>
      <c r="G46" s="709"/>
      <c r="H46" s="709"/>
      <c r="I46" s="709"/>
      <c r="J46" s="709"/>
      <c r="K46" s="709"/>
      <c r="L46"/>
      <c r="M46"/>
      <c r="N46"/>
      <c r="O46"/>
    </row>
    <row r="47" spans="1:15" ht="18.899999999999999" customHeight="1">
      <c r="A47" s="133"/>
      <c r="B47" s="642" t="str">
        <v>39</v>
      </c>
      <c r="C47" s="272" t="s">
        <v>93</v>
      </c>
      <c r="D47" s="8" t="str">
        <f>'Tab.G1.1-4'!$D$11</f>
        <v>[tys. zł]</v>
      </c>
      <c r="E47" s="154"/>
      <c r="F47" s="709"/>
      <c r="G47" s="709"/>
      <c r="H47" s="709"/>
      <c r="I47" s="709"/>
      <c r="J47" s="709"/>
      <c r="K47" s="709"/>
      <c r="L47"/>
      <c r="M47"/>
      <c r="N47"/>
      <c r="O47"/>
    </row>
    <row r="48" spans="1:15" ht="18.899999999999999" customHeight="1">
      <c r="A48" s="133"/>
      <c r="B48" s="643" t="str">
        <v>40</v>
      </c>
      <c r="C48" s="13" t="s">
        <v>121</v>
      </c>
      <c r="D48" s="9" t="str">
        <f>'Tab.G1.1-4'!$D$11</f>
        <v>[tys. zł]</v>
      </c>
      <c r="E48" s="155">
        <f>SUM(E49:E51)</f>
        <v>0</v>
      </c>
      <c r="F48" s="709"/>
      <c r="G48" s="709"/>
      <c r="H48" s="709"/>
      <c r="I48" s="709"/>
      <c r="J48" s="709"/>
      <c r="K48" s="709"/>
      <c r="L48"/>
      <c r="M48"/>
      <c r="N48"/>
      <c r="O48"/>
    </row>
    <row r="49" spans="1:15" ht="18.899999999999999" customHeight="1">
      <c r="A49" s="133"/>
      <c r="B49" s="640" t="str">
        <v>41</v>
      </c>
      <c r="C49" s="263" t="s">
        <v>91</v>
      </c>
      <c r="D49" s="6" t="str">
        <f>'Tab.G1.1-4'!$D$11</f>
        <v>[tys. zł]</v>
      </c>
      <c r="E49" s="152"/>
      <c r="F49" s="709"/>
      <c r="G49" s="709"/>
      <c r="H49" s="709"/>
      <c r="I49" s="709"/>
      <c r="J49" s="709"/>
      <c r="K49" s="709"/>
      <c r="L49"/>
      <c r="M49"/>
      <c r="N49"/>
      <c r="O49"/>
    </row>
    <row r="50" spans="1:15" ht="18.899999999999999" customHeight="1">
      <c r="A50" s="133"/>
      <c r="B50" s="641" t="str">
        <v>42</v>
      </c>
      <c r="C50" s="265" t="s">
        <v>92</v>
      </c>
      <c r="D50" s="7" t="str">
        <f>'Tab.G1.1-4'!$D$11</f>
        <v>[tys. zł]</v>
      </c>
      <c r="E50" s="153"/>
      <c r="F50" s="709"/>
      <c r="G50" s="709"/>
      <c r="H50" s="709"/>
      <c r="I50" s="709"/>
      <c r="J50" s="709"/>
      <c r="K50" s="709"/>
      <c r="L50"/>
      <c r="M50"/>
      <c r="N50"/>
      <c r="O50"/>
    </row>
    <row r="51" spans="1:15" ht="18.899999999999999" customHeight="1">
      <c r="A51" s="133"/>
      <c r="B51" s="642" t="str">
        <v>43</v>
      </c>
      <c r="C51" s="272" t="s">
        <v>93</v>
      </c>
      <c r="D51" s="8" t="str">
        <f>'Tab.G1.1-4'!$D$11</f>
        <v>[tys. zł]</v>
      </c>
      <c r="E51" s="154"/>
      <c r="F51" s="709"/>
      <c r="G51" s="709"/>
      <c r="H51" s="709"/>
      <c r="I51" s="709"/>
      <c r="J51" s="709"/>
      <c r="K51" s="709"/>
      <c r="L51"/>
      <c r="M51"/>
      <c r="N51"/>
      <c r="O51"/>
    </row>
    <row r="52" spans="1:15" ht="18.899999999999999" customHeight="1">
      <c r="A52" s="133"/>
      <c r="B52" s="647" t="str">
        <v>44</v>
      </c>
      <c r="C52" s="14" t="s">
        <v>122</v>
      </c>
      <c r="D52" s="15" t="str">
        <f>'Tab.G1.1-4'!$D$11</f>
        <v>[tys. zł]</v>
      </c>
      <c r="E52" s="155"/>
      <c r="F52" s="709"/>
      <c r="G52" s="709"/>
      <c r="H52" s="709"/>
      <c r="I52" s="709"/>
      <c r="J52" s="709"/>
      <c r="K52" s="709"/>
      <c r="L52"/>
      <c r="M52"/>
      <c r="N52"/>
      <c r="O52"/>
    </row>
    <row r="53" spans="1:15" ht="18.899999999999999" customHeight="1" thickBot="1">
      <c r="A53" s="133"/>
      <c r="B53" s="648" t="str">
        <v>45</v>
      </c>
      <c r="C53" s="16" t="s">
        <v>123</v>
      </c>
      <c r="D53" s="17" t="str">
        <f>'Tab.G1.1-4'!$D$11</f>
        <v>[tys. zł]</v>
      </c>
      <c r="E53" s="157"/>
      <c r="F53" s="709"/>
      <c r="G53" s="709"/>
      <c r="H53" s="709"/>
      <c r="I53" s="709"/>
      <c r="J53" s="709"/>
      <c r="K53" s="709"/>
      <c r="L53"/>
      <c r="M53"/>
      <c r="N53"/>
      <c r="O53"/>
    </row>
    <row r="54" spans="1:15" ht="18.899999999999999" customHeight="1" thickBot="1">
      <c r="A54" s="133"/>
      <c r="B54" s="646" t="str">
        <v>46</v>
      </c>
      <c r="C54" s="1" t="s">
        <v>130</v>
      </c>
      <c r="D54" s="2" t="str">
        <f>'Tab.G1.1-4'!$D$11</f>
        <v>[tys. zł]</v>
      </c>
      <c r="E54" s="149">
        <f>SUM(E55,E60,E63,E66)</f>
        <v>0</v>
      </c>
      <c r="F54" s="709"/>
      <c r="G54" s="709"/>
      <c r="H54" s="709"/>
      <c r="I54" s="709"/>
      <c r="J54" s="709"/>
      <c r="K54" s="709"/>
      <c r="L54"/>
      <c r="M54"/>
      <c r="N54"/>
      <c r="O54"/>
    </row>
    <row r="55" spans="1:15" ht="18.899999999999999" customHeight="1">
      <c r="A55" s="133"/>
      <c r="B55" s="639" t="str">
        <v>47</v>
      </c>
      <c r="C55" s="12" t="s">
        <v>131</v>
      </c>
      <c r="D55" s="5" t="str">
        <f>'Tab.G1.1-4'!$D$11</f>
        <v>[tys. zł]</v>
      </c>
      <c r="E55" s="151">
        <f>SUM(E56:E59)</f>
        <v>0</v>
      </c>
      <c r="F55" s="709"/>
      <c r="G55" s="709"/>
      <c r="H55" s="709"/>
      <c r="I55" s="709"/>
      <c r="J55" s="709"/>
      <c r="K55" s="709"/>
      <c r="L55"/>
      <c r="M55"/>
      <c r="N55"/>
      <c r="O55"/>
    </row>
    <row r="56" spans="1:15" ht="18.899999999999999" customHeight="1">
      <c r="A56" s="133"/>
      <c r="B56" s="640" t="str">
        <v>48</v>
      </c>
      <c r="C56" s="266" t="s">
        <v>132</v>
      </c>
      <c r="D56" s="6" t="str">
        <f>'Tab.G1.1-4'!$D$11</f>
        <v>[tys. zł]</v>
      </c>
      <c r="E56" s="152"/>
      <c r="F56" s="709"/>
      <c r="G56" s="709"/>
      <c r="H56" s="709"/>
      <c r="I56" s="709"/>
      <c r="J56" s="709"/>
      <c r="K56" s="709"/>
      <c r="L56"/>
      <c r="M56"/>
      <c r="N56"/>
      <c r="O56"/>
    </row>
    <row r="57" spans="1:15" ht="18.899999999999999" customHeight="1">
      <c r="A57" s="133"/>
      <c r="B57" s="641" t="str">
        <v>49</v>
      </c>
      <c r="C57" s="265" t="s">
        <v>173</v>
      </c>
      <c r="D57" s="7" t="str">
        <f>'Tab.G1.1-4'!$D$11</f>
        <v>[tys. zł]</v>
      </c>
      <c r="E57" s="153"/>
      <c r="F57" s="709"/>
      <c r="G57" s="709"/>
      <c r="H57" s="709"/>
      <c r="I57" s="709"/>
      <c r="J57" s="709"/>
      <c r="K57" s="709"/>
      <c r="L57"/>
      <c r="M57"/>
      <c r="N57"/>
      <c r="O57"/>
    </row>
    <row r="58" spans="1:15" ht="18.899999999999999" customHeight="1">
      <c r="A58" s="133"/>
      <c r="B58" s="641" t="str">
        <v>50</v>
      </c>
      <c r="C58" s="265" t="s">
        <v>133</v>
      </c>
      <c r="D58" s="7" t="str">
        <f>'Tab.G1.1-4'!$D$11</f>
        <v>[tys. zł]</v>
      </c>
      <c r="E58" s="153"/>
      <c r="F58" s="709"/>
      <c r="G58" s="709"/>
      <c r="H58" s="709"/>
      <c r="I58" s="709"/>
      <c r="J58" s="709"/>
      <c r="K58" s="709"/>
      <c r="L58"/>
      <c r="M58"/>
      <c r="N58"/>
      <c r="O58"/>
    </row>
    <row r="59" spans="1:15" ht="18.899999999999999" customHeight="1">
      <c r="A59" s="133"/>
      <c r="B59" s="642" t="str">
        <v>51</v>
      </c>
      <c r="C59" s="339" t="s">
        <v>174</v>
      </c>
      <c r="D59" s="8" t="str">
        <f>'Tab.G1.1-4'!$D$11</f>
        <v>[tys. zł]</v>
      </c>
      <c r="E59" s="154"/>
      <c r="F59" s="709"/>
      <c r="G59" s="709"/>
      <c r="H59" s="709"/>
      <c r="I59" s="709"/>
      <c r="J59" s="709"/>
      <c r="K59" s="709"/>
      <c r="L59"/>
      <c r="M59"/>
      <c r="N59"/>
      <c r="O59"/>
    </row>
    <row r="60" spans="1:15" ht="18.899999999999999" customHeight="1">
      <c r="A60" s="133"/>
      <c r="B60" s="643" t="str">
        <v>52</v>
      </c>
      <c r="C60" s="13" t="s">
        <v>134</v>
      </c>
      <c r="D60" s="9" t="str">
        <f>'Tab.G1.1-4'!$D$11</f>
        <v>[tys. zł]</v>
      </c>
      <c r="E60" s="155">
        <f>SUM(E61:E62)</f>
        <v>0</v>
      </c>
      <c r="F60" s="709"/>
      <c r="G60" s="709"/>
      <c r="H60" s="709"/>
      <c r="I60" s="709"/>
      <c r="J60" s="709"/>
      <c r="K60" s="709"/>
      <c r="L60"/>
      <c r="M60"/>
      <c r="N60"/>
      <c r="O60"/>
    </row>
    <row r="61" spans="1:15" ht="18.899999999999999" customHeight="1">
      <c r="A61" s="133"/>
      <c r="B61" s="640" t="str">
        <v>53</v>
      </c>
      <c r="C61" s="266" t="s">
        <v>35</v>
      </c>
      <c r="D61" s="6" t="str">
        <f>'Tab.G1.1-4'!$D$11</f>
        <v>[tys. zł]</v>
      </c>
      <c r="E61" s="152"/>
      <c r="F61" s="709"/>
      <c r="G61" s="709"/>
      <c r="H61" s="709"/>
      <c r="I61" s="709"/>
      <c r="J61" s="709"/>
      <c r="K61" s="709"/>
      <c r="L61"/>
      <c r="M61"/>
      <c r="N61"/>
      <c r="O61"/>
    </row>
    <row r="62" spans="1:15" ht="18.899999999999999" customHeight="1">
      <c r="A62" s="133"/>
      <c r="B62" s="645" t="str">
        <v>54</v>
      </c>
      <c r="C62" s="269" t="s">
        <v>33</v>
      </c>
      <c r="D62" s="270" t="str">
        <f>'Tab.G1.1-4'!$D$11</f>
        <v>[tys. zł]</v>
      </c>
      <c r="E62" s="271"/>
      <c r="F62" s="709"/>
      <c r="G62" s="709"/>
      <c r="H62" s="709"/>
      <c r="I62" s="709"/>
      <c r="J62" s="709"/>
      <c r="K62" s="709"/>
      <c r="L62"/>
      <c r="M62"/>
      <c r="N62"/>
      <c r="O62"/>
    </row>
    <row r="63" spans="1:15" ht="18.899999999999999" customHeight="1">
      <c r="A63" s="133"/>
      <c r="B63" s="643" t="str">
        <v>55</v>
      </c>
      <c r="C63" s="13" t="s">
        <v>135</v>
      </c>
      <c r="D63" s="9" t="str">
        <f>'Tab.G1.1-4'!$D$11</f>
        <v>[tys. zł]</v>
      </c>
      <c r="E63" s="155">
        <f>SUM(E64:E65)</f>
        <v>0</v>
      </c>
      <c r="F63" s="709"/>
      <c r="G63" s="709"/>
      <c r="H63" s="709"/>
      <c r="I63" s="709"/>
      <c r="J63" s="709"/>
      <c r="K63" s="709"/>
      <c r="L63"/>
      <c r="M63"/>
      <c r="N63"/>
      <c r="O63"/>
    </row>
    <row r="64" spans="1:15" ht="18.899999999999999" customHeight="1">
      <c r="A64" s="35"/>
      <c r="B64" s="640" t="str">
        <v>56</v>
      </c>
      <c r="C64" s="266" t="s">
        <v>35</v>
      </c>
      <c r="D64" s="6" t="str">
        <f>'Tab.G1.1-4'!$D$11</f>
        <v>[tys. zł]</v>
      </c>
      <c r="E64" s="152"/>
      <c r="F64" s="709"/>
      <c r="G64" s="709"/>
      <c r="H64" s="709"/>
      <c r="I64" s="709"/>
      <c r="J64" s="709"/>
      <c r="K64" s="709"/>
      <c r="L64"/>
      <c r="M64"/>
      <c r="N64"/>
      <c r="O64"/>
    </row>
    <row r="65" spans="1:15" ht="18.899999999999999" customHeight="1">
      <c r="A65" s="35"/>
      <c r="B65" s="645" t="str">
        <v>57</v>
      </c>
      <c r="C65" s="269" t="s">
        <v>33</v>
      </c>
      <c r="D65" s="270" t="str">
        <f>'Tab.G1.1-4'!$D$11</f>
        <v>[tys. zł]</v>
      </c>
      <c r="E65" s="271"/>
      <c r="F65" s="709"/>
      <c r="G65" s="709"/>
      <c r="H65" s="709"/>
      <c r="I65" s="709"/>
      <c r="J65" s="709"/>
      <c r="K65" s="709"/>
      <c r="L65"/>
      <c r="M65"/>
      <c r="N65"/>
      <c r="O65"/>
    </row>
    <row r="66" spans="1:15" ht="18.899999999999999" customHeight="1" thickBot="1">
      <c r="A66" s="35"/>
      <c r="B66" s="648" t="str">
        <v>58</v>
      </c>
      <c r="C66" s="16" t="s">
        <v>136</v>
      </c>
      <c r="D66" s="17" t="str">
        <f>'Tab.G1.1-4'!$D$11</f>
        <v>[tys. zł]</v>
      </c>
      <c r="E66" s="157"/>
      <c r="F66" s="859"/>
      <c r="G66" s="709"/>
      <c r="H66" s="709"/>
      <c r="I66" s="709"/>
      <c r="J66" s="709"/>
      <c r="K66" s="709"/>
      <c r="L66"/>
      <c r="M66"/>
      <c r="N66"/>
      <c r="O66"/>
    </row>
    <row r="67" spans="1:15" ht="18.899999999999999" customHeight="1">
      <c r="A67" s="875"/>
      <c r="B67" s="883"/>
      <c r="C67" s="884"/>
      <c r="D67" s="885"/>
      <c r="E67" s="860"/>
      <c r="F67" s="860"/>
      <c r="G67" s="709"/>
      <c r="H67" s="709"/>
      <c r="I67" s="709"/>
      <c r="J67" s="709"/>
      <c r="K67" s="709"/>
      <c r="L67"/>
      <c r="M67"/>
      <c r="N67"/>
      <c r="O67"/>
    </row>
    <row r="68" spans="1:15" ht="18.899999999999999" customHeight="1">
      <c r="A68" s="875"/>
      <c r="B68" s="709"/>
      <c r="C68" s="886"/>
      <c r="D68" s="885"/>
      <c r="E68" s="860"/>
      <c r="F68" s="860"/>
      <c r="G68" s="709"/>
      <c r="H68" s="709"/>
      <c r="I68" s="709"/>
      <c r="J68" s="709"/>
      <c r="K68" s="709"/>
      <c r="L68"/>
      <c r="M68"/>
      <c r="N68"/>
      <c r="O68"/>
    </row>
    <row r="69" spans="1:15" ht="30" customHeight="1" thickBot="1">
      <c r="A69" s="875"/>
      <c r="B69" s="700" t="s">
        <v>175</v>
      </c>
      <c r="C69" s="709"/>
      <c r="D69" s="709"/>
      <c r="E69" s="861"/>
      <c r="F69" s="861"/>
      <c r="G69" s="709"/>
      <c r="H69" s="709"/>
      <c r="I69" s="709"/>
      <c r="J69" s="709"/>
      <c r="K69" s="709"/>
      <c r="L69"/>
      <c r="M69"/>
      <c r="N69"/>
      <c r="O69"/>
    </row>
    <row r="70" spans="1:15" ht="18.899999999999999" customHeight="1">
      <c r="A70" s="35"/>
      <c r="B70" s="996" t="str">
        <f>'Tab.G1.1-4'!$B$8</f>
        <v>LP</v>
      </c>
      <c r="C70" s="1003" t="str">
        <f>'Tab.G1.1-4'!$C$8</f>
        <v>Wyszczególnienie</v>
      </c>
      <c r="D70" s="999"/>
      <c r="E70" s="632" t="str">
        <f>'Tab.G1.1-4'!$E$8</f>
        <v>Wykonanie</v>
      </c>
      <c r="F70" s="861"/>
      <c r="G70" s="709"/>
      <c r="H70" s="709"/>
      <c r="I70" s="709"/>
      <c r="J70" s="709"/>
      <c r="K70" s="709"/>
      <c r="L70"/>
      <c r="M70"/>
      <c r="N70"/>
      <c r="O70"/>
    </row>
    <row r="71" spans="1:15" ht="18.899999999999999" customHeight="1">
      <c r="A71" s="35"/>
      <c r="B71" s="997"/>
      <c r="C71" s="1004"/>
      <c r="D71" s="1001"/>
      <c r="E71" s="633">
        <f>Rok_ZPR</f>
        <v>2020</v>
      </c>
      <c r="F71" s="862"/>
      <c r="G71" s="709"/>
      <c r="H71" s="709"/>
      <c r="I71" s="709"/>
      <c r="J71" s="709"/>
      <c r="K71" s="709"/>
      <c r="L71"/>
      <c r="M71"/>
      <c r="N71"/>
      <c r="O71"/>
    </row>
    <row r="72" spans="1:15" ht="14.1" customHeight="1" thickBot="1">
      <c r="A72" s="35"/>
      <c r="B72" s="649" t="str">
        <f t="array" ref="B72:B129">Tab.G17!$B$10:$B$67</f>
        <v>01</v>
      </c>
      <c r="C72" s="994" t="str">
        <f>Tab.G17!$B$11</f>
        <v>02</v>
      </c>
      <c r="D72" s="995"/>
      <c r="E72" s="650" t="str">
        <f>Tab.G17!$B$12</f>
        <v>03</v>
      </c>
      <c r="F72" s="863"/>
      <c r="G72" s="709"/>
      <c r="H72" s="709"/>
      <c r="I72" s="709"/>
      <c r="J72" s="709"/>
      <c r="K72" s="709"/>
      <c r="L72"/>
      <c r="M72"/>
      <c r="N72"/>
      <c r="O72"/>
    </row>
    <row r="73" spans="1:15" ht="18.899999999999999" customHeight="1" thickBot="1">
      <c r="A73" s="35"/>
      <c r="B73" s="646" t="str">
        <v>02</v>
      </c>
      <c r="C73" s="1" t="s">
        <v>116</v>
      </c>
      <c r="D73" s="2" t="str">
        <f>'Tab.G2.1-3'!$D$72</f>
        <v>[km]</v>
      </c>
      <c r="E73" s="149">
        <f>SUM(E74,E85,E101)</f>
        <v>0</v>
      </c>
      <c r="F73" s="864"/>
      <c r="G73" s="709"/>
      <c r="H73" s="709"/>
      <c r="I73" s="709"/>
      <c r="J73" s="709"/>
      <c r="K73" s="709"/>
      <c r="L73"/>
      <c r="M73"/>
      <c r="N73"/>
      <c r="O73"/>
    </row>
    <row r="74" spans="1:15" ht="18.899999999999999" customHeight="1" thickBot="1">
      <c r="A74" s="35"/>
      <c r="B74" s="638" t="str">
        <v>03</v>
      </c>
      <c r="C74" s="3" t="s">
        <v>124</v>
      </c>
      <c r="D74" s="4" t="str">
        <f>'Tab.G2.1-3'!$D$72</f>
        <v>[km]</v>
      </c>
      <c r="E74" s="150">
        <f>SUM(E75,E80)</f>
        <v>0</v>
      </c>
      <c r="F74" s="865"/>
      <c r="G74" s="709"/>
      <c r="H74" s="709"/>
      <c r="I74" s="709"/>
      <c r="J74" s="709"/>
      <c r="K74" s="709"/>
      <c r="L74"/>
      <c r="M74"/>
      <c r="N74"/>
      <c r="O74"/>
    </row>
    <row r="75" spans="1:15" ht="18.899999999999999" customHeight="1">
      <c r="A75" s="35"/>
      <c r="B75" s="639" t="str">
        <v>04</v>
      </c>
      <c r="C75" s="261" t="s">
        <v>75</v>
      </c>
      <c r="D75" s="5" t="str">
        <f>'Tab.G2.1-3'!$D$72</f>
        <v>[km]</v>
      </c>
      <c r="E75" s="151">
        <f>SUM(E76:E79)</f>
        <v>0</v>
      </c>
      <c r="F75" s="866"/>
      <c r="G75" s="709"/>
      <c r="H75" s="709"/>
      <c r="I75" s="709"/>
      <c r="J75" s="709"/>
      <c r="K75" s="709"/>
      <c r="L75"/>
      <c r="M75"/>
      <c r="N75"/>
      <c r="O75"/>
    </row>
    <row r="76" spans="1:15" ht="18.899999999999999" customHeight="1">
      <c r="A76" s="35"/>
      <c r="B76" s="640" t="str">
        <v>05</v>
      </c>
      <c r="C76" s="263" t="s">
        <v>76</v>
      </c>
      <c r="D76" s="6" t="str">
        <f>'Tab.G2.1-3'!$D$72</f>
        <v>[km]</v>
      </c>
      <c r="E76" s="152"/>
      <c r="F76" s="867"/>
      <c r="G76" s="709"/>
      <c r="H76" s="709"/>
      <c r="I76" s="709"/>
      <c r="J76" s="709"/>
      <c r="K76" s="709"/>
      <c r="L76"/>
      <c r="M76"/>
      <c r="N76"/>
      <c r="O76"/>
    </row>
    <row r="77" spans="1:15" ht="18.899999999999999" customHeight="1">
      <c r="A77" s="35"/>
      <c r="B77" s="641" t="str">
        <v>06</v>
      </c>
      <c r="C77" s="264" t="s">
        <v>77</v>
      </c>
      <c r="D77" s="7" t="str">
        <f>'Tab.G2.1-3'!$D$72</f>
        <v>[km]</v>
      </c>
      <c r="E77" s="153"/>
      <c r="F77" s="867"/>
      <c r="G77" s="709"/>
      <c r="H77" s="709"/>
      <c r="I77" s="709"/>
      <c r="J77" s="709"/>
      <c r="K77" s="709"/>
      <c r="L77"/>
      <c r="M77"/>
      <c r="N77"/>
      <c r="O77"/>
    </row>
    <row r="78" spans="1:15" ht="18.899999999999999" customHeight="1">
      <c r="A78" s="35"/>
      <c r="B78" s="641" t="str">
        <v>07</v>
      </c>
      <c r="C78" s="264" t="s">
        <v>78</v>
      </c>
      <c r="D78" s="7" t="str">
        <f>'Tab.G2.1-3'!$D$72</f>
        <v>[km]</v>
      </c>
      <c r="E78" s="153"/>
      <c r="F78" s="866"/>
      <c r="G78" s="709"/>
      <c r="H78" s="709"/>
      <c r="I78" s="709"/>
      <c r="J78" s="709"/>
      <c r="K78" s="709"/>
      <c r="L78"/>
      <c r="M78"/>
      <c r="N78"/>
      <c r="O78"/>
    </row>
    <row r="79" spans="1:15" ht="18.899999999999999" customHeight="1">
      <c r="A79" s="875"/>
      <c r="B79" s="642" t="str">
        <v>08</v>
      </c>
      <c r="C79" s="267" t="s">
        <v>79</v>
      </c>
      <c r="D79" s="8" t="str">
        <f>'Tab.G2.1-3'!$D$72</f>
        <v>[km]</v>
      </c>
      <c r="E79" s="154"/>
      <c r="F79" s="867"/>
      <c r="G79" s="709"/>
      <c r="H79" s="709"/>
      <c r="I79" s="709"/>
      <c r="J79" s="709"/>
      <c r="K79" s="709"/>
      <c r="L79"/>
      <c r="M79"/>
      <c r="N79"/>
      <c r="O79"/>
    </row>
    <row r="80" spans="1:15" ht="18.899999999999999" customHeight="1">
      <c r="A80" s="875"/>
      <c r="B80" s="643" t="str">
        <v>09</v>
      </c>
      <c r="C80" s="262" t="s">
        <v>80</v>
      </c>
      <c r="D80" s="9" t="str">
        <f>'Tab.G2.1-3'!$D$72</f>
        <v>[km]</v>
      </c>
      <c r="E80" s="155">
        <f>SUM(E81:E84)</f>
        <v>0</v>
      </c>
      <c r="F80" s="867"/>
      <c r="G80" s="709"/>
      <c r="H80" s="709"/>
      <c r="I80" s="709"/>
      <c r="J80" s="709"/>
      <c r="K80" s="709"/>
      <c r="L80"/>
      <c r="M80"/>
      <c r="N80"/>
      <c r="O80"/>
    </row>
    <row r="81" spans="1:15" ht="18.899999999999999" customHeight="1">
      <c r="A81" s="875"/>
      <c r="B81" s="640" t="str">
        <v>10</v>
      </c>
      <c r="C81" s="263" t="s">
        <v>76</v>
      </c>
      <c r="D81" s="6" t="str">
        <f>'Tab.G2.1-3'!$D$72</f>
        <v>[km]</v>
      </c>
      <c r="E81" s="152"/>
      <c r="F81" s="866"/>
      <c r="G81" s="709"/>
      <c r="H81" s="709"/>
      <c r="I81" s="709"/>
      <c r="J81" s="709"/>
      <c r="K81" s="709"/>
      <c r="L81"/>
      <c r="M81"/>
      <c r="N81"/>
      <c r="O81"/>
    </row>
    <row r="82" spans="1:15" ht="18.899999999999999" customHeight="1">
      <c r="A82" s="875"/>
      <c r="B82" s="641" t="str">
        <v>11</v>
      </c>
      <c r="C82" s="264" t="s">
        <v>77</v>
      </c>
      <c r="D82" s="7" t="str">
        <f>'Tab.G2.1-3'!$D$72</f>
        <v>[km]</v>
      </c>
      <c r="E82" s="153"/>
      <c r="F82" s="867"/>
      <c r="G82" s="867"/>
      <c r="H82" s="860"/>
      <c r="I82" s="868"/>
      <c r="J82" s="869"/>
      <c r="K82" s="869"/>
    </row>
    <row r="83" spans="1:15" ht="18.899999999999999" customHeight="1">
      <c r="A83" s="888"/>
      <c r="B83" s="641" t="str">
        <v>12</v>
      </c>
      <c r="C83" s="264" t="s">
        <v>78</v>
      </c>
      <c r="D83" s="7" t="str">
        <f>'Tab.G2.1-3'!$D$72</f>
        <v>[km]</v>
      </c>
      <c r="E83" s="153"/>
      <c r="F83" s="867"/>
      <c r="G83" s="867"/>
      <c r="H83" s="860"/>
      <c r="I83" s="868"/>
      <c r="J83" s="869"/>
      <c r="K83" s="869"/>
    </row>
    <row r="84" spans="1:15" ht="18.899999999999999" customHeight="1" thickBot="1">
      <c r="A84" s="888"/>
      <c r="B84" s="644" t="str">
        <v>13</v>
      </c>
      <c r="C84" s="268" t="s">
        <v>79</v>
      </c>
      <c r="D84" s="10" t="str">
        <f>'Tab.G2.1-3'!$D$72</f>
        <v>[km]</v>
      </c>
      <c r="E84" s="156"/>
      <c r="F84" s="866"/>
      <c r="G84" s="866"/>
      <c r="H84" s="861"/>
      <c r="I84" s="861"/>
      <c r="J84" s="869"/>
      <c r="K84" s="869"/>
    </row>
    <row r="85" spans="1:15" ht="18.899999999999999" customHeight="1" thickBot="1">
      <c r="A85" s="888"/>
      <c r="B85" s="638" t="str">
        <v>14</v>
      </c>
      <c r="C85" s="11" t="s">
        <v>125</v>
      </c>
      <c r="D85" s="4" t="str">
        <f>'Tab.G2.1-3'!$D$72</f>
        <v>[km]</v>
      </c>
      <c r="E85" s="150">
        <f>SUM(E86,E91,E96)</f>
        <v>0</v>
      </c>
      <c r="F85" s="870"/>
      <c r="G85" s="870"/>
      <c r="H85" s="861"/>
      <c r="I85" s="861"/>
      <c r="J85" s="869"/>
      <c r="K85" s="869"/>
    </row>
    <row r="86" spans="1:15" ht="18.899999999999999" customHeight="1">
      <c r="A86" s="888"/>
      <c r="B86" s="639" t="str">
        <v>15</v>
      </c>
      <c r="C86" s="261" t="s">
        <v>75</v>
      </c>
      <c r="D86" s="5" t="str">
        <f>'Tab.G2.1-3'!$D$72</f>
        <v>[km]</v>
      </c>
      <c r="E86" s="151">
        <f>SUM(E87:E90)</f>
        <v>0</v>
      </c>
      <c r="F86" s="870"/>
      <c r="G86" s="870"/>
      <c r="H86" s="862"/>
      <c r="I86" s="862"/>
      <c r="J86" s="869"/>
      <c r="K86" s="869"/>
    </row>
    <row r="87" spans="1:15" ht="18.899999999999999" customHeight="1">
      <c r="A87" s="888"/>
      <c r="B87" s="640" t="str">
        <v>16</v>
      </c>
      <c r="C87" s="263" t="s">
        <v>81</v>
      </c>
      <c r="D87" s="6" t="str">
        <f>'Tab.G2.1-3'!$D$72</f>
        <v>[km]</v>
      </c>
      <c r="E87" s="152"/>
      <c r="F87" s="870"/>
      <c r="G87" s="870"/>
      <c r="H87" s="863"/>
      <c r="I87" s="863"/>
      <c r="J87" s="869"/>
      <c r="K87" s="869"/>
    </row>
    <row r="88" spans="1:15" ht="18.899999999999999" customHeight="1">
      <c r="A88" s="888"/>
      <c r="B88" s="641" t="str">
        <v>17</v>
      </c>
      <c r="C88" s="264" t="s">
        <v>78</v>
      </c>
      <c r="D88" s="7" t="str">
        <f>'Tab.G2.1-3'!$D$72</f>
        <v>[km]</v>
      </c>
      <c r="E88" s="153"/>
      <c r="F88" s="866"/>
      <c r="G88" s="866"/>
      <c r="H88" s="864"/>
      <c r="I88" s="864"/>
      <c r="J88" s="869"/>
      <c r="K88" s="869"/>
    </row>
    <row r="89" spans="1:15" ht="18.899999999999999" customHeight="1">
      <c r="A89" s="888"/>
      <c r="B89" s="641" t="str">
        <v>18</v>
      </c>
      <c r="C89" s="265" t="s">
        <v>82</v>
      </c>
      <c r="D89" s="7" t="str">
        <f>'Tab.G2.1-3'!$D$72</f>
        <v>[km]</v>
      </c>
      <c r="E89" s="153"/>
      <c r="F89" s="870"/>
      <c r="G89" s="870"/>
      <c r="H89" s="865"/>
      <c r="I89" s="865"/>
      <c r="J89" s="869"/>
      <c r="K89" s="869"/>
    </row>
    <row r="90" spans="1:15" ht="18.899999999999999" customHeight="1">
      <c r="A90" s="888"/>
      <c r="B90" s="642" t="str">
        <v>19</v>
      </c>
      <c r="C90" s="267" t="s">
        <v>83</v>
      </c>
      <c r="D90" s="8" t="str">
        <f>'Tab.G2.1-3'!$D$72</f>
        <v>[km]</v>
      </c>
      <c r="E90" s="154"/>
      <c r="F90" s="870"/>
      <c r="G90" s="870"/>
      <c r="H90" s="866"/>
      <c r="I90" s="866"/>
      <c r="J90" s="869"/>
      <c r="K90" s="869"/>
    </row>
    <row r="91" spans="1:15" ht="18.899999999999999" customHeight="1">
      <c r="A91" s="888"/>
      <c r="B91" s="643" t="str">
        <v>20</v>
      </c>
      <c r="C91" s="262" t="s">
        <v>80</v>
      </c>
      <c r="D91" s="9" t="str">
        <f>'Tab.G2.1-3'!$D$72</f>
        <v>[km]</v>
      </c>
      <c r="E91" s="155">
        <f>SUM(E92:E95)</f>
        <v>0</v>
      </c>
      <c r="F91" s="866"/>
      <c r="G91" s="866"/>
      <c r="H91" s="867"/>
      <c r="I91" s="867"/>
      <c r="J91" s="869"/>
      <c r="K91" s="869"/>
    </row>
    <row r="92" spans="1:15" ht="18.899999999999999" customHeight="1">
      <c r="A92" s="888"/>
      <c r="B92" s="640" t="str">
        <v>21</v>
      </c>
      <c r="C92" s="263" t="s">
        <v>81</v>
      </c>
      <c r="D92" s="6" t="str">
        <f>'Tab.G2.1-3'!$D$72</f>
        <v>[km]</v>
      </c>
      <c r="E92" s="152"/>
      <c r="F92" s="866"/>
      <c r="G92" s="866"/>
      <c r="H92" s="867"/>
      <c r="I92" s="867"/>
      <c r="J92" s="869"/>
      <c r="K92" s="869"/>
    </row>
    <row r="93" spans="1:15" ht="18.899999999999999" customHeight="1">
      <c r="A93" s="888"/>
      <c r="B93" s="641" t="str">
        <v>22</v>
      </c>
      <c r="C93" s="264" t="s">
        <v>78</v>
      </c>
      <c r="D93" s="7" t="str">
        <f>'Tab.G2.1-3'!$D$72</f>
        <v>[km]</v>
      </c>
      <c r="E93" s="153"/>
      <c r="F93" s="871"/>
      <c r="G93" s="871"/>
      <c r="H93" s="866"/>
      <c r="I93" s="866"/>
      <c r="J93" s="869"/>
      <c r="K93" s="869"/>
    </row>
    <row r="94" spans="1:15" ht="18.899999999999999" customHeight="1">
      <c r="A94" s="888"/>
      <c r="B94" s="641" t="str">
        <v>23</v>
      </c>
      <c r="C94" s="265" t="s">
        <v>82</v>
      </c>
      <c r="D94" s="7" t="str">
        <f>'Tab.G2.1-3'!$D$72</f>
        <v>[km]</v>
      </c>
      <c r="E94" s="153"/>
      <c r="F94" s="871"/>
      <c r="G94" s="871"/>
      <c r="H94" s="867"/>
      <c r="I94" s="867"/>
      <c r="J94" s="869"/>
      <c r="K94" s="869"/>
    </row>
    <row r="95" spans="1:15" ht="18.899999999999999" customHeight="1">
      <c r="A95" s="888"/>
      <c r="B95" s="645" t="str">
        <v>24</v>
      </c>
      <c r="C95" s="338" t="s">
        <v>83</v>
      </c>
      <c r="D95" s="270" t="str">
        <f>'Tab.G2.1-3'!$D$72</f>
        <v>[km]</v>
      </c>
      <c r="E95" s="271"/>
      <c r="F95" s="870"/>
      <c r="G95" s="870"/>
      <c r="H95" s="867"/>
      <c r="I95" s="867"/>
      <c r="J95" s="869"/>
      <c r="K95" s="869"/>
    </row>
    <row r="96" spans="1:15" ht="18.899999999999999" customHeight="1">
      <c r="A96" s="888"/>
      <c r="B96" s="643" t="str">
        <v>25</v>
      </c>
      <c r="C96" s="262" t="s">
        <v>171</v>
      </c>
      <c r="D96" s="9" t="str">
        <f>'Tab.G2.1-3'!$D$72</f>
        <v>[km]</v>
      </c>
      <c r="E96" s="155">
        <f>SUM(E97:E100)</f>
        <v>0</v>
      </c>
      <c r="F96" s="872"/>
      <c r="G96" s="872"/>
      <c r="H96" s="866"/>
      <c r="I96" s="866"/>
      <c r="J96" s="869"/>
      <c r="K96" s="869"/>
    </row>
    <row r="97" spans="1:11" ht="18.899999999999999" customHeight="1">
      <c r="A97" s="888"/>
      <c r="B97" s="640" t="str">
        <v>26</v>
      </c>
      <c r="C97" s="263" t="s">
        <v>81</v>
      </c>
      <c r="D97" s="6" t="str">
        <f>'Tab.G2.1-3'!$D$72</f>
        <v>[km]</v>
      </c>
      <c r="E97" s="152"/>
      <c r="F97" s="873"/>
      <c r="G97" s="873"/>
      <c r="H97" s="867"/>
      <c r="I97" s="867"/>
      <c r="J97" s="869"/>
      <c r="K97" s="869"/>
    </row>
    <row r="98" spans="1:11" ht="18.899999999999999" customHeight="1">
      <c r="A98" s="888"/>
      <c r="B98" s="641" t="str">
        <v>27</v>
      </c>
      <c r="C98" s="264" t="s">
        <v>78</v>
      </c>
      <c r="D98" s="7" t="str">
        <f>'Tab.G2.1-3'!$D$72</f>
        <v>[km]</v>
      </c>
      <c r="E98" s="153"/>
      <c r="F98" s="874"/>
      <c r="G98" s="874"/>
      <c r="H98" s="867"/>
      <c r="I98" s="867"/>
      <c r="J98" s="869"/>
      <c r="K98" s="869"/>
    </row>
    <row r="99" spans="1:11" ht="18.899999999999999" customHeight="1">
      <c r="A99" s="888"/>
      <c r="B99" s="641" t="str">
        <v>28</v>
      </c>
      <c r="C99" s="265" t="s">
        <v>82</v>
      </c>
      <c r="D99" s="7" t="str">
        <f>'Tab.G2.1-3'!$D$72</f>
        <v>[km]</v>
      </c>
      <c r="E99" s="153"/>
      <c r="F99" s="874"/>
      <c r="G99" s="874"/>
      <c r="H99" s="866"/>
      <c r="I99" s="866"/>
      <c r="J99" s="869"/>
      <c r="K99" s="869"/>
    </row>
    <row r="100" spans="1:11" ht="18.899999999999999" customHeight="1" thickBot="1">
      <c r="A100" s="888"/>
      <c r="B100" s="642" t="str">
        <v>29</v>
      </c>
      <c r="C100" s="267" t="s">
        <v>83</v>
      </c>
      <c r="D100" s="8" t="str">
        <f>'Tab.G2.1-3'!$D$72</f>
        <v>[km]</v>
      </c>
      <c r="E100" s="154"/>
      <c r="F100" s="875"/>
      <c r="G100" s="875"/>
      <c r="H100" s="870"/>
      <c r="I100" s="870"/>
      <c r="J100" s="869"/>
      <c r="K100" s="869"/>
    </row>
    <row r="101" spans="1:11" ht="18.899999999999999" customHeight="1" thickBot="1">
      <c r="A101" s="888"/>
      <c r="B101" s="638" t="str">
        <v>30</v>
      </c>
      <c r="C101" s="11" t="s">
        <v>172</v>
      </c>
      <c r="D101" s="4" t="str">
        <f>'Tab.G2.1-3'!$D$72</f>
        <v>[km]</v>
      </c>
      <c r="E101" s="150"/>
      <c r="F101" s="875"/>
      <c r="G101" s="875"/>
      <c r="H101" s="870"/>
      <c r="I101" s="870"/>
      <c r="J101" s="869"/>
      <c r="K101" s="869"/>
    </row>
    <row r="102" spans="1:11" ht="18.899999999999999" customHeight="1" thickBot="1">
      <c r="A102" s="888"/>
      <c r="B102" s="646" t="str">
        <v>31</v>
      </c>
      <c r="C102" s="1" t="s">
        <v>117</v>
      </c>
      <c r="D102" s="2" t="str">
        <f>'Tab.G2.1-3'!$D$106</f>
        <v>[szt.]</v>
      </c>
      <c r="E102" s="149">
        <f>SUM(E103,E107,E111,E115:E116)</f>
        <v>0</v>
      </c>
      <c r="F102" s="876"/>
      <c r="G102" s="876"/>
      <c r="H102" s="870"/>
      <c r="I102" s="870"/>
      <c r="J102" s="869"/>
      <c r="K102" s="869"/>
    </row>
    <row r="103" spans="1:11" ht="18.899999999999999" customHeight="1">
      <c r="A103" s="888"/>
      <c r="B103" s="639" t="str">
        <v>32</v>
      </c>
      <c r="C103" s="12" t="s">
        <v>119</v>
      </c>
      <c r="D103" s="5" t="str">
        <f>'Tab.G2.1-3'!$D$106</f>
        <v>[szt.]</v>
      </c>
      <c r="E103" s="151">
        <f>SUM(E104:E106)</f>
        <v>0</v>
      </c>
      <c r="F103" s="876"/>
      <c r="G103" s="876"/>
      <c r="H103" s="866"/>
      <c r="I103" s="866"/>
      <c r="J103" s="869"/>
      <c r="K103" s="869"/>
    </row>
    <row r="104" spans="1:11" ht="18.899999999999999" customHeight="1">
      <c r="A104" s="888"/>
      <c r="B104" s="640" t="str">
        <v>33</v>
      </c>
      <c r="C104" s="263" t="s">
        <v>88</v>
      </c>
      <c r="D104" s="6" t="str">
        <f>'Tab.G2.1-3'!$D$106</f>
        <v>[szt.]</v>
      </c>
      <c r="E104" s="152"/>
      <c r="F104" s="876"/>
      <c r="G104" s="876"/>
      <c r="H104" s="870"/>
      <c r="I104" s="870"/>
      <c r="J104" s="869"/>
      <c r="K104" s="869"/>
    </row>
    <row r="105" spans="1:11" ht="18.899999999999999" customHeight="1">
      <c r="A105" s="888"/>
      <c r="B105" s="641" t="str">
        <v>34</v>
      </c>
      <c r="C105" s="264" t="s">
        <v>89</v>
      </c>
      <c r="D105" s="7" t="str">
        <f>'Tab.G2.1-3'!$D$106</f>
        <v>[szt.]</v>
      </c>
      <c r="E105" s="153"/>
      <c r="F105" s="876"/>
      <c r="G105" s="876"/>
      <c r="H105" s="870"/>
      <c r="I105" s="870"/>
      <c r="J105" s="869"/>
      <c r="K105" s="869"/>
    </row>
    <row r="106" spans="1:11" ht="18.899999999999999" customHeight="1">
      <c r="A106" s="888"/>
      <c r="B106" s="642" t="str">
        <v>35</v>
      </c>
      <c r="C106" s="272" t="s">
        <v>90</v>
      </c>
      <c r="D106" s="8" t="str">
        <f>'Tab.G2.1-3'!$D$106</f>
        <v>[szt.]</v>
      </c>
      <c r="E106" s="154"/>
      <c r="F106" s="876"/>
      <c r="G106" s="876"/>
      <c r="H106" s="866"/>
      <c r="I106" s="866"/>
      <c r="J106" s="869"/>
      <c r="K106" s="869"/>
    </row>
    <row r="107" spans="1:11" ht="18.899999999999999" customHeight="1">
      <c r="A107" s="872"/>
      <c r="B107" s="643" t="str">
        <v>36</v>
      </c>
      <c r="C107" s="13" t="s">
        <v>120</v>
      </c>
      <c r="D107" s="9" t="str">
        <f>'Tab.G2.1-3'!$D$106</f>
        <v>[szt.]</v>
      </c>
      <c r="E107" s="155">
        <f>SUM(E108:E110)</f>
        <v>0</v>
      </c>
      <c r="F107" s="876"/>
      <c r="G107" s="876"/>
      <c r="H107" s="866"/>
      <c r="I107" s="866"/>
      <c r="J107" s="869"/>
      <c r="K107" s="869"/>
    </row>
    <row r="108" spans="1:11" ht="18.899999999999999" customHeight="1">
      <c r="A108" s="888"/>
      <c r="B108" s="640" t="str">
        <v>37</v>
      </c>
      <c r="C108" s="263" t="s">
        <v>91</v>
      </c>
      <c r="D108" s="6" t="str">
        <f>'Tab.G2.1-3'!$D$106</f>
        <v>[szt.]</v>
      </c>
      <c r="E108" s="152"/>
      <c r="F108" s="876"/>
      <c r="G108" s="876"/>
      <c r="H108" s="871"/>
      <c r="I108" s="871"/>
      <c r="J108" s="869"/>
      <c r="K108" s="869"/>
    </row>
    <row r="109" spans="1:11" ht="18.899999999999999" customHeight="1">
      <c r="A109" s="888"/>
      <c r="B109" s="641" t="str">
        <v>38</v>
      </c>
      <c r="C109" s="265" t="s">
        <v>92</v>
      </c>
      <c r="D109" s="7" t="str">
        <f>'Tab.G2.1-3'!$D$106</f>
        <v>[szt.]</v>
      </c>
      <c r="E109" s="153"/>
      <c r="F109" s="876"/>
      <c r="G109" s="876"/>
      <c r="H109" s="871"/>
      <c r="I109" s="871"/>
      <c r="J109" s="869"/>
      <c r="K109" s="869"/>
    </row>
    <row r="110" spans="1:11" ht="18.899999999999999" customHeight="1">
      <c r="A110" s="888"/>
      <c r="B110" s="642" t="str">
        <v>39</v>
      </c>
      <c r="C110" s="272" t="s">
        <v>93</v>
      </c>
      <c r="D110" s="8" t="str">
        <f>'Tab.G2.1-3'!$D$106</f>
        <v>[szt.]</v>
      </c>
      <c r="E110" s="154"/>
      <c r="F110" s="876"/>
      <c r="G110" s="876"/>
      <c r="H110" s="870"/>
      <c r="I110" s="870"/>
      <c r="J110" s="869"/>
      <c r="K110" s="869"/>
    </row>
    <row r="111" spans="1:11" ht="18.899999999999999" customHeight="1">
      <c r="A111" s="888"/>
      <c r="B111" s="643" t="str">
        <v>40</v>
      </c>
      <c r="C111" s="13" t="s">
        <v>121</v>
      </c>
      <c r="D111" s="9" t="str">
        <f>'Tab.G2.1-3'!$D$106</f>
        <v>[szt.]</v>
      </c>
      <c r="E111" s="155">
        <f>SUM(E112:E114)</f>
        <v>0</v>
      </c>
      <c r="F111" s="876"/>
      <c r="G111" s="876"/>
      <c r="H111" s="872"/>
      <c r="I111" s="872"/>
      <c r="J111" s="869"/>
      <c r="K111" s="869"/>
    </row>
    <row r="112" spans="1:11" ht="18.899999999999999" customHeight="1">
      <c r="A112" s="888"/>
      <c r="B112" s="640" t="str">
        <v>41</v>
      </c>
      <c r="C112" s="263" t="s">
        <v>91</v>
      </c>
      <c r="D112" s="6" t="str">
        <f>'Tab.G2.1-3'!$D$106</f>
        <v>[szt.]</v>
      </c>
      <c r="E112" s="152"/>
      <c r="F112" s="876"/>
      <c r="G112" s="876"/>
      <c r="H112" s="873"/>
      <c r="I112" s="873"/>
      <c r="J112" s="869"/>
      <c r="K112" s="869"/>
    </row>
    <row r="113" spans="1:11" ht="18.899999999999999" customHeight="1">
      <c r="A113" s="874"/>
      <c r="B113" s="641" t="str">
        <v>42</v>
      </c>
      <c r="C113" s="265" t="s">
        <v>92</v>
      </c>
      <c r="D113" s="7" t="str">
        <f>'Tab.G2.1-3'!$D$106</f>
        <v>[szt.]</v>
      </c>
      <c r="E113" s="153"/>
      <c r="F113" s="876"/>
      <c r="G113" s="876"/>
      <c r="H113" s="874"/>
      <c r="I113" s="874"/>
      <c r="J113" s="869"/>
      <c r="K113" s="869"/>
    </row>
    <row r="114" spans="1:11" ht="18.899999999999999" customHeight="1">
      <c r="A114" s="877"/>
      <c r="B114" s="642" t="str">
        <v>43</v>
      </c>
      <c r="C114" s="272" t="s">
        <v>93</v>
      </c>
      <c r="D114" s="8" t="str">
        <f>'Tab.G2.1-3'!$D$106</f>
        <v>[szt.]</v>
      </c>
      <c r="E114" s="154"/>
      <c r="F114" s="876"/>
      <c r="G114" s="876"/>
      <c r="H114" s="877"/>
      <c r="I114" s="874"/>
      <c r="J114" s="869"/>
      <c r="K114" s="869"/>
    </row>
    <row r="115" spans="1:11" ht="18.899999999999999" customHeight="1">
      <c r="A115" s="878"/>
      <c r="B115" s="647" t="str">
        <v>44</v>
      </c>
      <c r="C115" s="14" t="s">
        <v>122</v>
      </c>
      <c r="D115" s="15" t="str">
        <f>'Tab.G2.1-3'!$D$106</f>
        <v>[szt.]</v>
      </c>
      <c r="E115" s="155"/>
      <c r="F115" s="876"/>
      <c r="G115" s="876"/>
      <c r="H115" s="878"/>
      <c r="I115" s="875"/>
      <c r="J115" s="869"/>
      <c r="K115" s="869"/>
    </row>
    <row r="116" spans="1:11" ht="18.899999999999999" customHeight="1" thickBot="1">
      <c r="A116" s="878"/>
      <c r="B116" s="648" t="str">
        <v>45</v>
      </c>
      <c r="C116" s="16" t="s">
        <v>123</v>
      </c>
      <c r="D116" s="17" t="str">
        <f>'Tab.G2.1-3'!$D$106</f>
        <v>[szt.]</v>
      </c>
      <c r="E116" s="157"/>
      <c r="F116" s="876"/>
      <c r="G116" s="876"/>
      <c r="H116" s="878"/>
      <c r="I116" s="875"/>
      <c r="J116" s="869"/>
      <c r="K116" s="869"/>
    </row>
    <row r="117" spans="1:11" ht="18.899999999999999" customHeight="1" thickBot="1">
      <c r="A117" s="878"/>
      <c r="B117" s="646" t="str">
        <v>46</v>
      </c>
      <c r="C117" s="1" t="s">
        <v>130</v>
      </c>
      <c r="D117" s="2" t="str">
        <f>'Tab.G2.1-3'!$D$106</f>
        <v>[szt.]</v>
      </c>
      <c r="E117" s="149">
        <f>SUM(E118,E123,E126,E129)</f>
        <v>0</v>
      </c>
      <c r="F117" s="876"/>
      <c r="G117" s="876"/>
      <c r="H117" s="878"/>
      <c r="I117" s="876"/>
      <c r="J117" s="869"/>
      <c r="K117" s="869"/>
    </row>
    <row r="118" spans="1:11" ht="18.899999999999999" customHeight="1">
      <c r="A118" s="878"/>
      <c r="B118" s="639" t="str">
        <v>47</v>
      </c>
      <c r="C118" s="12" t="s">
        <v>131</v>
      </c>
      <c r="D118" s="5" t="str">
        <f>'Tab.G2.1-3'!$D$106</f>
        <v>[szt.]</v>
      </c>
      <c r="E118" s="151">
        <f>SUM(E119:E122)</f>
        <v>0</v>
      </c>
      <c r="F118" s="876"/>
      <c r="G118" s="876"/>
      <c r="H118" s="878"/>
      <c r="I118" s="876"/>
      <c r="J118" s="869"/>
      <c r="K118" s="869"/>
    </row>
    <row r="119" spans="1:11" ht="18.899999999999999" customHeight="1">
      <c r="A119" s="878"/>
      <c r="B119" s="640" t="str">
        <v>48</v>
      </c>
      <c r="C119" s="266" t="s">
        <v>132</v>
      </c>
      <c r="D119" s="6" t="str">
        <f>'Tab.G2.1-3'!$D$106</f>
        <v>[szt.]</v>
      </c>
      <c r="E119" s="152"/>
      <c r="F119" s="876"/>
      <c r="G119" s="876"/>
      <c r="H119" s="878"/>
      <c r="I119" s="876"/>
      <c r="J119" s="869"/>
      <c r="K119" s="869"/>
    </row>
    <row r="120" spans="1:11" ht="18.899999999999999" customHeight="1">
      <c r="A120" s="878"/>
      <c r="B120" s="641" t="str">
        <v>49</v>
      </c>
      <c r="C120" s="265" t="s">
        <v>173</v>
      </c>
      <c r="D120" s="7" t="str">
        <f>'Tab.G2.1-3'!$D$106</f>
        <v>[szt.]</v>
      </c>
      <c r="E120" s="153"/>
      <c r="F120" s="876"/>
      <c r="G120" s="876"/>
      <c r="H120" s="878"/>
      <c r="I120" s="876"/>
      <c r="J120" s="869"/>
      <c r="K120" s="869"/>
    </row>
    <row r="121" spans="1:11" ht="18.899999999999999" customHeight="1">
      <c r="A121" s="878"/>
      <c r="B121" s="641" t="str">
        <v>50</v>
      </c>
      <c r="C121" s="265" t="s">
        <v>133</v>
      </c>
      <c r="D121" s="7" t="str">
        <f>'Tab.G2.1-3'!$D$106</f>
        <v>[szt.]</v>
      </c>
      <c r="E121" s="153"/>
      <c r="F121" s="876"/>
      <c r="G121" s="876"/>
      <c r="H121" s="878"/>
      <c r="I121" s="876"/>
      <c r="J121" s="869"/>
      <c r="K121" s="869"/>
    </row>
    <row r="122" spans="1:11" ht="18.899999999999999" customHeight="1">
      <c r="A122" s="878"/>
      <c r="B122" s="642" t="str">
        <v>51</v>
      </c>
      <c r="C122" s="339" t="s">
        <v>174</v>
      </c>
      <c r="D122" s="8" t="str">
        <f>'Tab.G2.1-3'!$D$106</f>
        <v>[szt.]</v>
      </c>
      <c r="E122" s="154"/>
      <c r="F122" s="876"/>
      <c r="G122" s="876"/>
      <c r="H122" s="878"/>
      <c r="I122" s="876"/>
      <c r="J122" s="869"/>
      <c r="K122" s="869"/>
    </row>
    <row r="123" spans="1:11" ht="18.899999999999999" customHeight="1">
      <c r="A123" s="878"/>
      <c r="B123" s="643" t="str">
        <v>52</v>
      </c>
      <c r="C123" s="13" t="s">
        <v>134</v>
      </c>
      <c r="D123" s="9" t="str">
        <f>'Tab.G2.1-3'!$D$106</f>
        <v>[szt.]</v>
      </c>
      <c r="E123" s="155">
        <f>SUM(E124:E125)</f>
        <v>0</v>
      </c>
      <c r="F123" s="876"/>
      <c r="G123" s="876"/>
      <c r="H123" s="878"/>
      <c r="I123" s="876"/>
      <c r="J123" s="869"/>
      <c r="K123" s="869"/>
    </row>
    <row r="124" spans="1:11" ht="18.899999999999999" customHeight="1">
      <c r="A124" s="878"/>
      <c r="B124" s="640" t="str">
        <v>53</v>
      </c>
      <c r="C124" s="266" t="s">
        <v>35</v>
      </c>
      <c r="D124" s="6" t="str">
        <f>'Tab.G2.1-3'!$D$106</f>
        <v>[szt.]</v>
      </c>
      <c r="E124" s="152"/>
      <c r="F124" s="876"/>
      <c r="G124" s="876"/>
      <c r="H124" s="878"/>
      <c r="I124" s="876"/>
      <c r="J124" s="869"/>
      <c r="K124" s="869"/>
    </row>
    <row r="125" spans="1:11" ht="18.899999999999999" customHeight="1">
      <c r="A125" s="878"/>
      <c r="B125" s="645" t="str">
        <v>54</v>
      </c>
      <c r="C125" s="269" t="s">
        <v>33</v>
      </c>
      <c r="D125" s="270" t="str">
        <f>'Tab.G2.1-3'!$D$106</f>
        <v>[szt.]</v>
      </c>
      <c r="E125" s="271"/>
      <c r="F125" s="876"/>
      <c r="G125" s="876"/>
      <c r="H125" s="878"/>
      <c r="I125" s="876"/>
      <c r="J125" s="869"/>
      <c r="K125" s="869"/>
    </row>
    <row r="126" spans="1:11" ht="18.899999999999999" customHeight="1">
      <c r="A126" s="878"/>
      <c r="B126" s="643" t="str">
        <v>55</v>
      </c>
      <c r="C126" s="13" t="s">
        <v>135</v>
      </c>
      <c r="D126" s="9" t="str">
        <f>'Tab.G2.1-3'!$D$106</f>
        <v>[szt.]</v>
      </c>
      <c r="E126" s="155">
        <f>SUM(E127:E128)</f>
        <v>0</v>
      </c>
      <c r="F126" s="876"/>
      <c r="G126" s="876"/>
      <c r="H126" s="878"/>
      <c r="I126" s="876"/>
      <c r="J126" s="869"/>
      <c r="K126" s="869"/>
    </row>
    <row r="127" spans="1:11" ht="18.899999999999999" customHeight="1">
      <c r="A127" s="878"/>
      <c r="B127" s="640" t="str">
        <v>56</v>
      </c>
      <c r="C127" s="266" t="s">
        <v>35</v>
      </c>
      <c r="D127" s="6" t="str">
        <f>'Tab.G2.1-3'!$D$106</f>
        <v>[szt.]</v>
      </c>
      <c r="E127" s="152"/>
      <c r="F127" s="876"/>
      <c r="G127" s="876"/>
      <c r="H127" s="878"/>
      <c r="I127" s="876"/>
      <c r="J127" s="869"/>
      <c r="K127" s="869"/>
    </row>
    <row r="128" spans="1:11" ht="18.899999999999999" customHeight="1">
      <c r="A128" s="878"/>
      <c r="B128" s="645" t="str">
        <v>57</v>
      </c>
      <c r="C128" s="269" t="s">
        <v>33</v>
      </c>
      <c r="D128" s="270" t="str">
        <f>'Tab.G2.1-3'!$D$106</f>
        <v>[szt.]</v>
      </c>
      <c r="E128" s="271"/>
      <c r="F128" s="876"/>
      <c r="G128" s="876"/>
      <c r="H128" s="878"/>
      <c r="I128" s="876"/>
      <c r="J128" s="869"/>
      <c r="K128" s="869"/>
    </row>
    <row r="129" spans="1:11" ht="18.899999999999999" customHeight="1" thickBot="1">
      <c r="A129" s="878"/>
      <c r="B129" s="648" t="str">
        <v>58</v>
      </c>
      <c r="C129" s="16" t="s">
        <v>136</v>
      </c>
      <c r="D129" s="17" t="str">
        <f>'Tab.G2.1-3'!$D$106</f>
        <v>[szt.]</v>
      </c>
      <c r="E129" s="157"/>
      <c r="F129" s="876"/>
      <c r="G129" s="876"/>
      <c r="H129" s="878"/>
      <c r="I129" s="876"/>
      <c r="J129" s="869"/>
      <c r="K129" s="869"/>
    </row>
    <row r="130" spans="1:11" ht="18.899999999999999" customHeight="1">
      <c r="A130" s="878"/>
      <c r="B130" s="878"/>
      <c r="C130" s="877"/>
      <c r="D130" s="887"/>
      <c r="E130" s="876"/>
      <c r="F130" s="876"/>
      <c r="G130" s="876"/>
      <c r="H130" s="878"/>
      <c r="I130" s="876"/>
      <c r="J130" s="869"/>
      <c r="K130" s="869"/>
    </row>
    <row r="131" spans="1:11" ht="18.899999999999999" customHeight="1">
      <c r="A131" s="878"/>
      <c r="B131" s="878"/>
      <c r="C131" s="877"/>
      <c r="D131" s="887"/>
      <c r="E131" s="876"/>
      <c r="F131" s="876"/>
      <c r="G131" s="876"/>
      <c r="H131" s="878"/>
      <c r="I131" s="876"/>
      <c r="J131" s="869"/>
      <c r="K131" s="869"/>
    </row>
    <row r="132" spans="1:11" ht="30" customHeight="1" thickBot="1">
      <c r="A132" s="878"/>
      <c r="B132" s="700" t="s">
        <v>176</v>
      </c>
      <c r="C132" s="877"/>
      <c r="D132" s="887"/>
      <c r="E132" s="876"/>
      <c r="F132" s="876"/>
      <c r="G132" s="876"/>
      <c r="H132" s="878"/>
      <c r="I132" s="876"/>
      <c r="J132" s="869"/>
      <c r="K132" s="869"/>
    </row>
    <row r="133" spans="1:11" ht="18.899999999999999" customHeight="1">
      <c r="A133" s="878"/>
      <c r="B133" s="996" t="str">
        <f>'Tab.G1.1-4'!$B$8</f>
        <v>LP</v>
      </c>
      <c r="C133" s="1003" t="str">
        <f>'Tab.G1.1-4'!$C$8</f>
        <v>Wyszczególnienie</v>
      </c>
      <c r="D133" s="999"/>
      <c r="E133" s="632" t="str">
        <f>'Tab.G1.1-4'!$E$8</f>
        <v>Wykonanie</v>
      </c>
      <c r="F133" s="876"/>
      <c r="G133" s="876"/>
      <c r="H133" s="878"/>
      <c r="I133" s="876"/>
      <c r="J133" s="869"/>
      <c r="K133" s="869"/>
    </row>
    <row r="134" spans="1:11" ht="18.899999999999999" customHeight="1">
      <c r="A134" s="878"/>
      <c r="B134" s="997"/>
      <c r="C134" s="1004"/>
      <c r="D134" s="1001"/>
      <c r="E134" s="633">
        <f>Rok_ZPR</f>
        <v>2020</v>
      </c>
      <c r="F134" s="876"/>
      <c r="G134" s="876"/>
      <c r="H134" s="878"/>
      <c r="I134" s="876"/>
      <c r="J134" s="869"/>
      <c r="K134" s="869"/>
    </row>
    <row r="135" spans="1:11" ht="14.1" customHeight="1" thickBot="1">
      <c r="A135" s="878"/>
      <c r="B135" s="649" t="str">
        <f t="array" ref="B135:B192">Tab.G17!$B$10:$B$67</f>
        <v>01</v>
      </c>
      <c r="C135" s="994" t="str">
        <f>Tab.G17!$B$11</f>
        <v>02</v>
      </c>
      <c r="D135" s="995"/>
      <c r="E135" s="650" t="str">
        <f>Tab.G17!$B$12</f>
        <v>03</v>
      </c>
      <c r="F135" s="876"/>
      <c r="G135" s="876"/>
      <c r="H135" s="878"/>
      <c r="I135" s="876"/>
      <c r="J135" s="869"/>
      <c r="K135" s="869"/>
    </row>
    <row r="136" spans="1:11" ht="18.899999999999999" customHeight="1" thickBot="1">
      <c r="A136" s="878"/>
      <c r="B136" s="646" t="str">
        <v>02</v>
      </c>
      <c r="C136" s="1" t="s">
        <v>116</v>
      </c>
      <c r="D136" s="2" t="str">
        <f>'Tab.G2.1-3'!$D$134</f>
        <v>[tys. zł/km]</v>
      </c>
      <c r="E136" s="149" t="str">
        <f t="array" ref="E136:E192">IFERROR($E$10:$E$66/$E$73:$E$129,"")</f>
        <v/>
      </c>
      <c r="F136" s="876"/>
      <c r="G136" s="876"/>
      <c r="H136" s="878"/>
      <c r="I136" s="876"/>
      <c r="J136" s="869"/>
      <c r="K136" s="869"/>
    </row>
    <row r="137" spans="1:11" ht="18.899999999999999" customHeight="1" thickBot="1">
      <c r="A137" s="878"/>
      <c r="B137" s="638" t="str">
        <v>03</v>
      </c>
      <c r="C137" s="3" t="s">
        <v>124</v>
      </c>
      <c r="D137" s="4" t="str">
        <f>'Tab.G2.1-3'!$D$134</f>
        <v>[tys. zł/km]</v>
      </c>
      <c r="E137" s="150" t="str">
        <v/>
      </c>
      <c r="F137" s="876"/>
      <c r="G137" s="876"/>
      <c r="H137" s="878"/>
      <c r="I137" s="876"/>
      <c r="J137" s="869"/>
      <c r="K137" s="869"/>
    </row>
    <row r="138" spans="1:11" ht="18.899999999999999" customHeight="1">
      <c r="A138" s="878"/>
      <c r="B138" s="639" t="str">
        <v>04</v>
      </c>
      <c r="C138" s="261" t="s">
        <v>75</v>
      </c>
      <c r="D138" s="5" t="str">
        <f>'Tab.G2.1-3'!$D$134</f>
        <v>[tys. zł/km]</v>
      </c>
      <c r="E138" s="151" t="str">
        <v/>
      </c>
      <c r="F138" s="876"/>
      <c r="G138" s="876"/>
      <c r="H138" s="878"/>
      <c r="I138" s="876"/>
      <c r="J138" s="869"/>
      <c r="K138" s="869"/>
    </row>
    <row r="139" spans="1:11" ht="18.899999999999999" customHeight="1">
      <c r="A139" s="878"/>
      <c r="B139" s="640" t="str">
        <v>05</v>
      </c>
      <c r="C139" s="263" t="s">
        <v>76</v>
      </c>
      <c r="D139" s="6" t="str">
        <f>'Tab.G2.1-3'!$D$134</f>
        <v>[tys. zł/km]</v>
      </c>
      <c r="E139" s="152" t="str">
        <v/>
      </c>
      <c r="F139" s="876"/>
      <c r="G139" s="876"/>
      <c r="H139" s="878"/>
      <c r="I139" s="876"/>
      <c r="J139" s="869"/>
      <c r="K139" s="869"/>
    </row>
    <row r="140" spans="1:11" ht="18.899999999999999" customHeight="1">
      <c r="A140" s="878"/>
      <c r="B140" s="641" t="str">
        <v>06</v>
      </c>
      <c r="C140" s="264" t="s">
        <v>77</v>
      </c>
      <c r="D140" s="7" t="str">
        <f>'Tab.G2.1-3'!$D$134</f>
        <v>[tys. zł/km]</v>
      </c>
      <c r="E140" s="153" t="str">
        <v/>
      </c>
      <c r="F140" s="876"/>
      <c r="G140" s="876"/>
      <c r="H140" s="878"/>
      <c r="I140" s="876"/>
      <c r="J140" s="869"/>
      <c r="K140" s="869"/>
    </row>
    <row r="141" spans="1:11" ht="18.899999999999999" customHeight="1">
      <c r="A141" s="878"/>
      <c r="B141" s="641" t="str">
        <v>07</v>
      </c>
      <c r="C141" s="264" t="s">
        <v>78</v>
      </c>
      <c r="D141" s="7" t="str">
        <f>'Tab.G2.1-3'!$D$134</f>
        <v>[tys. zł/km]</v>
      </c>
      <c r="E141" s="153" t="str">
        <v/>
      </c>
      <c r="F141" s="876"/>
      <c r="G141" s="876"/>
      <c r="H141" s="878"/>
      <c r="I141" s="876"/>
      <c r="J141" s="869"/>
      <c r="K141" s="869"/>
    </row>
    <row r="142" spans="1:11" ht="18.899999999999999" customHeight="1">
      <c r="A142" s="878"/>
      <c r="B142" s="642" t="str">
        <v>08</v>
      </c>
      <c r="C142" s="267" t="s">
        <v>79</v>
      </c>
      <c r="D142" s="8" t="str">
        <f>'Tab.G2.1-3'!$D$134</f>
        <v>[tys. zł/km]</v>
      </c>
      <c r="E142" s="154" t="str">
        <v/>
      </c>
      <c r="F142" s="876"/>
      <c r="G142" s="876"/>
      <c r="H142" s="878"/>
      <c r="I142" s="876"/>
      <c r="J142" s="869"/>
      <c r="K142" s="869"/>
    </row>
    <row r="143" spans="1:11" ht="18.899999999999999" customHeight="1">
      <c r="A143" s="878"/>
      <c r="B143" s="643" t="str">
        <v>09</v>
      </c>
      <c r="C143" s="262" t="s">
        <v>80</v>
      </c>
      <c r="D143" s="9" t="str">
        <f>'Tab.G2.1-3'!$D$134</f>
        <v>[tys. zł/km]</v>
      </c>
      <c r="E143" s="155" t="str">
        <v/>
      </c>
      <c r="F143" s="876"/>
      <c r="G143" s="876"/>
      <c r="H143" s="878"/>
      <c r="I143" s="876"/>
      <c r="J143" s="869"/>
      <c r="K143" s="869"/>
    </row>
    <row r="144" spans="1:11" ht="18.899999999999999" customHeight="1">
      <c r="A144" s="878"/>
      <c r="B144" s="640" t="str">
        <v>10</v>
      </c>
      <c r="C144" s="263" t="s">
        <v>76</v>
      </c>
      <c r="D144" s="6" t="str">
        <f>'Tab.G2.1-3'!$D$134</f>
        <v>[tys. zł/km]</v>
      </c>
      <c r="E144" s="152" t="str">
        <v/>
      </c>
      <c r="F144" s="876"/>
      <c r="G144" s="876"/>
      <c r="H144" s="878"/>
      <c r="I144" s="876"/>
      <c r="J144" s="869"/>
      <c r="K144" s="869"/>
    </row>
    <row r="145" spans="1:11" ht="18.899999999999999" customHeight="1">
      <c r="A145" s="878"/>
      <c r="B145" s="641" t="str">
        <v>11</v>
      </c>
      <c r="C145" s="264" t="s">
        <v>77</v>
      </c>
      <c r="D145" s="7" t="str">
        <f>'Tab.G2.1-3'!$D$134</f>
        <v>[tys. zł/km]</v>
      </c>
      <c r="E145" s="153" t="str">
        <v/>
      </c>
      <c r="F145" s="876"/>
      <c r="G145" s="876"/>
      <c r="H145" s="878"/>
      <c r="I145" s="876"/>
      <c r="J145" s="869"/>
      <c r="K145" s="869"/>
    </row>
    <row r="146" spans="1:11" ht="18.899999999999999" customHeight="1">
      <c r="A146" s="878"/>
      <c r="B146" s="641" t="str">
        <v>12</v>
      </c>
      <c r="C146" s="264" t="s">
        <v>78</v>
      </c>
      <c r="D146" s="7" t="str">
        <f>'Tab.G2.1-3'!$D$134</f>
        <v>[tys. zł/km]</v>
      </c>
      <c r="E146" s="153" t="str">
        <v/>
      </c>
      <c r="F146" s="876"/>
      <c r="G146" s="876"/>
      <c r="H146" s="878"/>
      <c r="I146" s="876"/>
      <c r="J146" s="869"/>
      <c r="K146" s="869"/>
    </row>
    <row r="147" spans="1:11" ht="18.899999999999999" customHeight="1" thickBot="1">
      <c r="A147" s="878"/>
      <c r="B147" s="644" t="str">
        <v>13</v>
      </c>
      <c r="C147" s="268" t="s">
        <v>79</v>
      </c>
      <c r="D147" s="10" t="str">
        <f>'Tab.G2.1-3'!$D$134</f>
        <v>[tys. zł/km]</v>
      </c>
      <c r="E147" s="156" t="str">
        <v/>
      </c>
      <c r="F147" s="876"/>
      <c r="G147" s="876"/>
      <c r="H147" s="878"/>
      <c r="I147" s="876"/>
      <c r="J147" s="869"/>
      <c r="K147" s="869"/>
    </row>
    <row r="148" spans="1:11" ht="18.899999999999999" customHeight="1" thickBot="1">
      <c r="A148" s="878"/>
      <c r="B148" s="638" t="str">
        <v>14</v>
      </c>
      <c r="C148" s="11" t="s">
        <v>125</v>
      </c>
      <c r="D148" s="4" t="str">
        <f>'Tab.G2.1-3'!$D$134</f>
        <v>[tys. zł/km]</v>
      </c>
      <c r="E148" s="150" t="str">
        <v/>
      </c>
      <c r="F148" s="876"/>
      <c r="G148" s="876"/>
      <c r="H148" s="878"/>
      <c r="I148" s="876"/>
      <c r="J148" s="869"/>
      <c r="K148" s="869"/>
    </row>
    <row r="149" spans="1:11" ht="18.899999999999999" customHeight="1">
      <c r="A149" s="878"/>
      <c r="B149" s="639" t="str">
        <v>15</v>
      </c>
      <c r="C149" s="261" t="s">
        <v>75</v>
      </c>
      <c r="D149" s="5" t="str">
        <f>'Tab.G2.1-3'!$D$134</f>
        <v>[tys. zł/km]</v>
      </c>
      <c r="E149" s="151" t="str">
        <v/>
      </c>
      <c r="F149" s="876"/>
      <c r="G149" s="876"/>
      <c r="H149" s="878"/>
      <c r="I149" s="876"/>
      <c r="J149" s="869"/>
      <c r="K149" s="869"/>
    </row>
    <row r="150" spans="1:11" ht="18.899999999999999" customHeight="1">
      <c r="A150" s="878"/>
      <c r="B150" s="640" t="str">
        <v>16</v>
      </c>
      <c r="C150" s="263" t="s">
        <v>81</v>
      </c>
      <c r="D150" s="6" t="str">
        <f>'Tab.G2.1-3'!$D$134</f>
        <v>[tys. zł/km]</v>
      </c>
      <c r="E150" s="152" t="str">
        <v/>
      </c>
      <c r="F150" s="876"/>
      <c r="G150" s="876"/>
      <c r="H150" s="878"/>
      <c r="I150" s="876"/>
      <c r="J150" s="869"/>
      <c r="K150" s="869"/>
    </row>
    <row r="151" spans="1:11" ht="18.899999999999999" customHeight="1">
      <c r="A151" s="878"/>
      <c r="B151" s="641" t="str">
        <v>17</v>
      </c>
      <c r="C151" s="264" t="s">
        <v>78</v>
      </c>
      <c r="D151" s="7" t="str">
        <f>'Tab.G2.1-3'!$D$134</f>
        <v>[tys. zł/km]</v>
      </c>
      <c r="E151" s="153" t="str">
        <v/>
      </c>
      <c r="F151" s="876"/>
      <c r="G151" s="876"/>
      <c r="H151" s="878"/>
      <c r="I151" s="876"/>
      <c r="J151" s="869"/>
      <c r="K151" s="869"/>
    </row>
    <row r="152" spans="1:11" ht="18.899999999999999" customHeight="1">
      <c r="A152" s="878"/>
      <c r="B152" s="641" t="str">
        <v>18</v>
      </c>
      <c r="C152" s="265" t="s">
        <v>82</v>
      </c>
      <c r="D152" s="7" t="str">
        <f>'Tab.G2.1-3'!$D$134</f>
        <v>[tys. zł/km]</v>
      </c>
      <c r="E152" s="153" t="str">
        <v/>
      </c>
      <c r="F152" s="876"/>
      <c r="G152" s="876"/>
      <c r="H152" s="878"/>
      <c r="I152" s="876"/>
      <c r="J152" s="869"/>
      <c r="K152" s="869"/>
    </row>
    <row r="153" spans="1:11" ht="18.899999999999999" customHeight="1">
      <c r="A153" s="878"/>
      <c r="B153" s="642" t="str">
        <v>19</v>
      </c>
      <c r="C153" s="267" t="s">
        <v>83</v>
      </c>
      <c r="D153" s="8" t="str">
        <f>'Tab.G2.1-3'!$D$134</f>
        <v>[tys. zł/km]</v>
      </c>
      <c r="E153" s="154" t="str">
        <v/>
      </c>
      <c r="F153" s="876"/>
      <c r="G153" s="876"/>
      <c r="H153" s="878"/>
      <c r="I153" s="876"/>
      <c r="J153" s="869"/>
      <c r="K153" s="869"/>
    </row>
    <row r="154" spans="1:11" ht="18.899999999999999" customHeight="1">
      <c r="A154" s="878"/>
      <c r="B154" s="643" t="str">
        <v>20</v>
      </c>
      <c r="C154" s="262" t="s">
        <v>80</v>
      </c>
      <c r="D154" s="9" t="str">
        <f>'Tab.G2.1-3'!$D$134</f>
        <v>[tys. zł/km]</v>
      </c>
      <c r="E154" s="155" t="str">
        <v/>
      </c>
      <c r="F154" s="876"/>
      <c r="G154" s="876"/>
      <c r="H154" s="878"/>
      <c r="I154" s="876"/>
      <c r="J154" s="869"/>
      <c r="K154" s="869"/>
    </row>
    <row r="155" spans="1:11" ht="18.899999999999999" customHeight="1">
      <c r="A155" s="878"/>
      <c r="B155" s="640" t="str">
        <v>21</v>
      </c>
      <c r="C155" s="263" t="s">
        <v>81</v>
      </c>
      <c r="D155" s="6" t="str">
        <f>'Tab.G2.1-3'!$D$134</f>
        <v>[tys. zł/km]</v>
      </c>
      <c r="E155" s="152" t="str">
        <v/>
      </c>
      <c r="F155" s="876"/>
      <c r="G155" s="876"/>
      <c r="H155" s="878"/>
      <c r="I155" s="876"/>
      <c r="J155" s="869"/>
      <c r="K155" s="869"/>
    </row>
    <row r="156" spans="1:11" ht="18.899999999999999" customHeight="1">
      <c r="A156" s="878"/>
      <c r="B156" s="641" t="str">
        <v>22</v>
      </c>
      <c r="C156" s="264" t="s">
        <v>78</v>
      </c>
      <c r="D156" s="7" t="str">
        <f>'Tab.G2.1-3'!$D$134</f>
        <v>[tys. zł/km]</v>
      </c>
      <c r="E156" s="153" t="str">
        <v/>
      </c>
      <c r="F156" s="876"/>
      <c r="G156" s="876"/>
      <c r="H156" s="878"/>
      <c r="I156" s="876"/>
      <c r="J156" s="869"/>
      <c r="K156" s="869"/>
    </row>
    <row r="157" spans="1:11" ht="18.899999999999999" customHeight="1">
      <c r="A157" s="878"/>
      <c r="B157" s="641" t="str">
        <v>23</v>
      </c>
      <c r="C157" s="265" t="s">
        <v>82</v>
      </c>
      <c r="D157" s="7" t="str">
        <f>'Tab.G2.1-3'!$D$134</f>
        <v>[tys. zł/km]</v>
      </c>
      <c r="E157" s="153" t="str">
        <v/>
      </c>
      <c r="F157" s="876"/>
      <c r="G157" s="876"/>
      <c r="H157" s="878"/>
      <c r="I157" s="876"/>
      <c r="J157" s="869"/>
      <c r="K157" s="869"/>
    </row>
    <row r="158" spans="1:11" ht="18.899999999999999" customHeight="1">
      <c r="A158" s="878"/>
      <c r="B158" s="645" t="str">
        <v>24</v>
      </c>
      <c r="C158" s="338" t="s">
        <v>83</v>
      </c>
      <c r="D158" s="270" t="str">
        <f>'Tab.G2.1-3'!$D$134</f>
        <v>[tys. zł/km]</v>
      </c>
      <c r="E158" s="271" t="str">
        <v/>
      </c>
      <c r="F158" s="876"/>
      <c r="G158" s="876"/>
      <c r="H158" s="878"/>
      <c r="I158" s="876"/>
      <c r="J158" s="869"/>
      <c r="K158" s="869"/>
    </row>
    <row r="159" spans="1:11" ht="18.899999999999999" customHeight="1">
      <c r="A159" s="878"/>
      <c r="B159" s="643" t="str">
        <v>25</v>
      </c>
      <c r="C159" s="262" t="s">
        <v>171</v>
      </c>
      <c r="D159" s="9" t="str">
        <f>'Tab.G2.1-3'!$D$134</f>
        <v>[tys. zł/km]</v>
      </c>
      <c r="E159" s="155" t="str">
        <v/>
      </c>
      <c r="F159" s="876"/>
      <c r="G159" s="876"/>
      <c r="H159" s="878"/>
      <c r="I159" s="876"/>
      <c r="J159" s="869"/>
      <c r="K159" s="869"/>
    </row>
    <row r="160" spans="1:11" ht="18.899999999999999" customHeight="1">
      <c r="A160" s="878"/>
      <c r="B160" s="640" t="str">
        <v>26</v>
      </c>
      <c r="C160" s="263" t="s">
        <v>81</v>
      </c>
      <c r="D160" s="6" t="str">
        <f>'Tab.G2.1-3'!$D$134</f>
        <v>[tys. zł/km]</v>
      </c>
      <c r="E160" s="152" t="str">
        <v/>
      </c>
      <c r="F160" s="876"/>
      <c r="G160" s="876"/>
      <c r="H160" s="878"/>
      <c r="I160" s="876"/>
      <c r="J160" s="869"/>
      <c r="K160" s="869"/>
    </row>
    <row r="161" spans="1:11" ht="18.899999999999999" customHeight="1">
      <c r="A161" s="878"/>
      <c r="B161" s="641" t="str">
        <v>27</v>
      </c>
      <c r="C161" s="264" t="s">
        <v>78</v>
      </c>
      <c r="D161" s="7" t="str">
        <f>'Tab.G2.1-3'!$D$134</f>
        <v>[tys. zł/km]</v>
      </c>
      <c r="E161" s="153" t="str">
        <v/>
      </c>
      <c r="F161" s="876"/>
      <c r="G161" s="876"/>
      <c r="H161" s="878"/>
      <c r="I161" s="876"/>
      <c r="J161" s="869"/>
      <c r="K161" s="869"/>
    </row>
    <row r="162" spans="1:11" ht="18.899999999999999" customHeight="1">
      <c r="A162" s="878"/>
      <c r="B162" s="641" t="str">
        <v>28</v>
      </c>
      <c r="C162" s="265" t="s">
        <v>82</v>
      </c>
      <c r="D162" s="7" t="str">
        <f>'Tab.G2.1-3'!$D$134</f>
        <v>[tys. zł/km]</v>
      </c>
      <c r="E162" s="153" t="str">
        <v/>
      </c>
      <c r="F162" s="876"/>
      <c r="G162" s="876"/>
      <c r="H162" s="878"/>
      <c r="I162" s="876"/>
      <c r="J162" s="869"/>
      <c r="K162" s="869"/>
    </row>
    <row r="163" spans="1:11" ht="18.899999999999999" customHeight="1" thickBot="1">
      <c r="A163" s="878"/>
      <c r="B163" s="642" t="str">
        <v>29</v>
      </c>
      <c r="C163" s="267" t="s">
        <v>83</v>
      </c>
      <c r="D163" s="8" t="str">
        <f>'Tab.G2.1-3'!$D$134</f>
        <v>[tys. zł/km]</v>
      </c>
      <c r="E163" s="154" t="str">
        <v/>
      </c>
      <c r="F163" s="876"/>
      <c r="G163" s="876"/>
      <c r="H163" s="878"/>
      <c r="I163" s="876"/>
      <c r="J163" s="869"/>
      <c r="K163" s="869"/>
    </row>
    <row r="164" spans="1:11" ht="18.899999999999999" customHeight="1" thickBot="1">
      <c r="A164" s="878"/>
      <c r="B164" s="638" t="str">
        <v>30</v>
      </c>
      <c r="C164" s="11" t="s">
        <v>172</v>
      </c>
      <c r="D164" s="4" t="str">
        <f>'Tab.G2.1-3'!$D$134</f>
        <v>[tys. zł/km]</v>
      </c>
      <c r="E164" s="150" t="str">
        <v/>
      </c>
      <c r="F164" s="876"/>
      <c r="G164" s="876"/>
      <c r="H164" s="878"/>
      <c r="I164" s="876"/>
      <c r="J164" s="869"/>
      <c r="K164" s="869"/>
    </row>
    <row r="165" spans="1:11" ht="18.899999999999999" customHeight="1" thickBot="1">
      <c r="A165" s="878"/>
      <c r="B165" s="646" t="str">
        <v>31</v>
      </c>
      <c r="C165" s="1" t="s">
        <v>117</v>
      </c>
      <c r="D165" s="2" t="str">
        <f>'Tab.G2.1-3'!$D$168</f>
        <v>[tys. zł/szt.]</v>
      </c>
      <c r="E165" s="149" t="str">
        <v/>
      </c>
      <c r="F165" s="876"/>
      <c r="G165" s="876"/>
      <c r="H165" s="878"/>
      <c r="I165" s="876"/>
      <c r="J165" s="869"/>
      <c r="K165" s="869"/>
    </row>
    <row r="166" spans="1:11" ht="18.899999999999999" customHeight="1">
      <c r="A166" s="878"/>
      <c r="B166" s="639" t="str">
        <v>32</v>
      </c>
      <c r="C166" s="12" t="s">
        <v>119</v>
      </c>
      <c r="D166" s="5" t="str">
        <f>'Tab.G2.1-3'!$D$168</f>
        <v>[tys. zł/szt.]</v>
      </c>
      <c r="E166" s="151" t="str">
        <v/>
      </c>
      <c r="F166" s="876"/>
      <c r="G166" s="876"/>
      <c r="H166" s="878"/>
      <c r="I166" s="876"/>
      <c r="J166" s="869"/>
      <c r="K166" s="869"/>
    </row>
    <row r="167" spans="1:11" ht="18.899999999999999" customHeight="1">
      <c r="A167" s="878"/>
      <c r="B167" s="640" t="str">
        <v>33</v>
      </c>
      <c r="C167" s="263" t="s">
        <v>88</v>
      </c>
      <c r="D167" s="6" t="str">
        <f>'Tab.G2.1-3'!$D$168</f>
        <v>[tys. zł/szt.]</v>
      </c>
      <c r="E167" s="152" t="str">
        <v/>
      </c>
      <c r="F167" s="876"/>
      <c r="G167" s="876"/>
      <c r="H167" s="878"/>
      <c r="I167" s="876"/>
      <c r="J167" s="869"/>
      <c r="K167" s="869"/>
    </row>
    <row r="168" spans="1:11" ht="18.899999999999999" customHeight="1">
      <c r="A168" s="878"/>
      <c r="B168" s="641" t="str">
        <v>34</v>
      </c>
      <c r="C168" s="264" t="s">
        <v>89</v>
      </c>
      <c r="D168" s="7" t="str">
        <f>'Tab.G2.1-3'!$D$168</f>
        <v>[tys. zł/szt.]</v>
      </c>
      <c r="E168" s="153" t="str">
        <v/>
      </c>
      <c r="F168" s="876"/>
      <c r="G168" s="876"/>
      <c r="H168" s="878"/>
      <c r="I168" s="876"/>
      <c r="J168" s="869"/>
      <c r="K168" s="869"/>
    </row>
    <row r="169" spans="1:11" ht="18.899999999999999" customHeight="1">
      <c r="A169" s="878"/>
      <c r="B169" s="642" t="str">
        <v>35</v>
      </c>
      <c r="C169" s="272" t="s">
        <v>90</v>
      </c>
      <c r="D169" s="8" t="str">
        <f>'Tab.G2.1-3'!$D$168</f>
        <v>[tys. zł/szt.]</v>
      </c>
      <c r="E169" s="154" t="str">
        <v/>
      </c>
      <c r="F169" s="876"/>
      <c r="G169" s="876"/>
      <c r="H169" s="878"/>
      <c r="I169" s="876"/>
      <c r="J169" s="869"/>
      <c r="K169" s="869"/>
    </row>
    <row r="170" spans="1:11" ht="18.899999999999999" customHeight="1">
      <c r="A170" s="878"/>
      <c r="B170" s="643" t="str">
        <v>36</v>
      </c>
      <c r="C170" s="13" t="s">
        <v>120</v>
      </c>
      <c r="D170" s="9" t="str">
        <f>'Tab.G2.1-3'!$D$168</f>
        <v>[tys. zł/szt.]</v>
      </c>
      <c r="E170" s="155" t="str">
        <v/>
      </c>
      <c r="F170" s="876"/>
      <c r="G170" s="876"/>
      <c r="H170" s="878"/>
      <c r="I170" s="876"/>
      <c r="J170" s="869"/>
      <c r="K170" s="869"/>
    </row>
    <row r="171" spans="1:11" ht="18.899999999999999" customHeight="1">
      <c r="A171" s="878"/>
      <c r="B171" s="640" t="str">
        <v>37</v>
      </c>
      <c r="C171" s="263" t="s">
        <v>91</v>
      </c>
      <c r="D171" s="6" t="str">
        <f>'Tab.G2.1-3'!$D$168</f>
        <v>[tys. zł/szt.]</v>
      </c>
      <c r="E171" s="152" t="str">
        <v/>
      </c>
      <c r="F171" s="876"/>
      <c r="G171" s="876"/>
      <c r="H171" s="878"/>
      <c r="I171" s="876"/>
      <c r="J171" s="869"/>
      <c r="K171" s="869"/>
    </row>
    <row r="172" spans="1:11" ht="18.899999999999999" customHeight="1">
      <c r="A172" s="878"/>
      <c r="B172" s="641" t="str">
        <v>38</v>
      </c>
      <c r="C172" s="265" t="s">
        <v>92</v>
      </c>
      <c r="D172" s="7" t="str">
        <f>'Tab.G2.1-3'!$D$168</f>
        <v>[tys. zł/szt.]</v>
      </c>
      <c r="E172" s="153" t="str">
        <v/>
      </c>
      <c r="F172" s="876"/>
      <c r="G172" s="876"/>
      <c r="H172" s="878"/>
      <c r="I172" s="876"/>
      <c r="J172" s="869"/>
      <c r="K172" s="869"/>
    </row>
    <row r="173" spans="1:11" ht="18.899999999999999" customHeight="1">
      <c r="A173" s="878"/>
      <c r="B173" s="642" t="str">
        <v>39</v>
      </c>
      <c r="C173" s="272" t="s">
        <v>93</v>
      </c>
      <c r="D173" s="8" t="str">
        <f>'Tab.G2.1-3'!$D$168</f>
        <v>[tys. zł/szt.]</v>
      </c>
      <c r="E173" s="154" t="str">
        <v/>
      </c>
      <c r="F173" s="876"/>
      <c r="G173" s="876"/>
      <c r="H173" s="878"/>
      <c r="I173" s="876"/>
      <c r="J173" s="869"/>
      <c r="K173" s="869"/>
    </row>
    <row r="174" spans="1:11" ht="18.899999999999999" customHeight="1">
      <c r="A174" s="878"/>
      <c r="B174" s="643" t="str">
        <v>40</v>
      </c>
      <c r="C174" s="13" t="s">
        <v>121</v>
      </c>
      <c r="D174" s="9" t="str">
        <f>'Tab.G2.1-3'!$D$168</f>
        <v>[tys. zł/szt.]</v>
      </c>
      <c r="E174" s="155" t="str">
        <v/>
      </c>
      <c r="F174" s="876"/>
      <c r="G174" s="876"/>
      <c r="H174" s="878"/>
      <c r="I174" s="876"/>
      <c r="J174" s="869"/>
      <c r="K174" s="869"/>
    </row>
    <row r="175" spans="1:11" ht="18.899999999999999" customHeight="1">
      <c r="A175" s="878"/>
      <c r="B175" s="640" t="str">
        <v>41</v>
      </c>
      <c r="C175" s="263" t="s">
        <v>91</v>
      </c>
      <c r="D175" s="6" t="str">
        <f>'Tab.G2.1-3'!$D$168</f>
        <v>[tys. zł/szt.]</v>
      </c>
      <c r="E175" s="152" t="str">
        <v/>
      </c>
      <c r="F175" s="876"/>
      <c r="G175" s="876"/>
      <c r="H175" s="878"/>
      <c r="I175" s="876"/>
      <c r="J175" s="869"/>
      <c r="K175" s="869"/>
    </row>
    <row r="176" spans="1:11" ht="18.899999999999999" customHeight="1">
      <c r="A176" s="878"/>
      <c r="B176" s="641" t="str">
        <v>42</v>
      </c>
      <c r="C176" s="265" t="s">
        <v>92</v>
      </c>
      <c r="D176" s="7" t="str">
        <f>'Tab.G2.1-3'!$D$168</f>
        <v>[tys. zł/szt.]</v>
      </c>
      <c r="E176" s="153" t="str">
        <v/>
      </c>
      <c r="F176" s="876"/>
      <c r="G176" s="876"/>
      <c r="H176" s="878"/>
      <c r="I176" s="876"/>
      <c r="J176" s="869"/>
      <c r="K176" s="869"/>
    </row>
    <row r="177" spans="1:11" ht="18.899999999999999" customHeight="1">
      <c r="A177" s="878"/>
      <c r="B177" s="642" t="str">
        <v>43</v>
      </c>
      <c r="C177" s="272" t="s">
        <v>93</v>
      </c>
      <c r="D177" s="8" t="str">
        <f>'Tab.G2.1-3'!$D$168</f>
        <v>[tys. zł/szt.]</v>
      </c>
      <c r="E177" s="154" t="str">
        <v/>
      </c>
      <c r="F177" s="876"/>
      <c r="G177" s="876"/>
      <c r="H177" s="878"/>
      <c r="I177" s="876"/>
      <c r="J177" s="869"/>
      <c r="K177" s="869"/>
    </row>
    <row r="178" spans="1:11" ht="18.899999999999999" customHeight="1">
      <c r="A178" s="878"/>
      <c r="B178" s="647" t="str">
        <v>44</v>
      </c>
      <c r="C178" s="14" t="s">
        <v>122</v>
      </c>
      <c r="D178" s="15" t="str">
        <f>'Tab.G2.1-3'!$D$168</f>
        <v>[tys. zł/szt.]</v>
      </c>
      <c r="E178" s="155" t="str">
        <v/>
      </c>
      <c r="F178" s="876"/>
      <c r="G178" s="876"/>
      <c r="H178" s="878"/>
      <c r="I178" s="876"/>
      <c r="J178" s="869"/>
      <c r="K178" s="869"/>
    </row>
    <row r="179" spans="1:11" ht="18.899999999999999" customHeight="1" thickBot="1">
      <c r="A179" s="878"/>
      <c r="B179" s="648" t="str">
        <v>45</v>
      </c>
      <c r="C179" s="16" t="s">
        <v>123</v>
      </c>
      <c r="D179" s="17" t="str">
        <f>'Tab.G2.1-3'!$D$168</f>
        <v>[tys. zł/szt.]</v>
      </c>
      <c r="E179" s="157" t="str">
        <v/>
      </c>
      <c r="F179" s="876"/>
      <c r="G179" s="876"/>
      <c r="H179" s="878"/>
      <c r="I179" s="876"/>
      <c r="J179" s="869"/>
      <c r="K179" s="869"/>
    </row>
    <row r="180" spans="1:11" ht="18.899999999999999" customHeight="1" thickBot="1">
      <c r="A180" s="878"/>
      <c r="B180" s="646" t="str">
        <v>46</v>
      </c>
      <c r="C180" s="1" t="s">
        <v>130</v>
      </c>
      <c r="D180" s="2" t="str">
        <f>'Tab.G2.1-3'!$D$168</f>
        <v>[tys. zł/szt.]</v>
      </c>
      <c r="E180" s="149" t="str">
        <v/>
      </c>
      <c r="F180" s="876"/>
      <c r="G180" s="876"/>
      <c r="H180" s="878"/>
      <c r="I180" s="876"/>
      <c r="J180" s="869"/>
      <c r="K180" s="869"/>
    </row>
    <row r="181" spans="1:11" ht="18.899999999999999" customHeight="1">
      <c r="A181" s="878"/>
      <c r="B181" s="639" t="str">
        <v>47</v>
      </c>
      <c r="C181" s="12" t="s">
        <v>131</v>
      </c>
      <c r="D181" s="5" t="str">
        <f>'Tab.G2.1-3'!$D$168</f>
        <v>[tys. zł/szt.]</v>
      </c>
      <c r="E181" s="151" t="str">
        <v/>
      </c>
      <c r="F181" s="876"/>
      <c r="G181" s="876"/>
      <c r="H181" s="878"/>
      <c r="I181" s="876"/>
      <c r="J181" s="869"/>
      <c r="K181" s="869"/>
    </row>
    <row r="182" spans="1:11" ht="18.899999999999999" customHeight="1">
      <c r="A182" s="878"/>
      <c r="B182" s="640" t="str">
        <v>48</v>
      </c>
      <c r="C182" s="266" t="s">
        <v>132</v>
      </c>
      <c r="D182" s="6" t="str">
        <f>'Tab.G2.1-3'!$D$168</f>
        <v>[tys. zł/szt.]</v>
      </c>
      <c r="E182" s="152" t="str">
        <v/>
      </c>
      <c r="F182" s="876"/>
      <c r="G182" s="876"/>
      <c r="H182" s="878"/>
      <c r="I182" s="876"/>
      <c r="J182" s="869"/>
      <c r="K182" s="869"/>
    </row>
    <row r="183" spans="1:11" ht="18.899999999999999" customHeight="1">
      <c r="A183" s="878"/>
      <c r="B183" s="641" t="str">
        <v>49</v>
      </c>
      <c r="C183" s="265" t="s">
        <v>173</v>
      </c>
      <c r="D183" s="7" t="str">
        <f>'Tab.G2.1-3'!$D$168</f>
        <v>[tys. zł/szt.]</v>
      </c>
      <c r="E183" s="153" t="str">
        <v/>
      </c>
      <c r="F183" s="876"/>
      <c r="G183" s="876"/>
      <c r="H183" s="878"/>
      <c r="I183" s="876"/>
      <c r="J183" s="869"/>
      <c r="K183" s="869"/>
    </row>
    <row r="184" spans="1:11" ht="18.899999999999999" customHeight="1">
      <c r="A184" s="878"/>
      <c r="B184" s="641" t="str">
        <v>50</v>
      </c>
      <c r="C184" s="265" t="s">
        <v>133</v>
      </c>
      <c r="D184" s="7" t="str">
        <f>'Tab.G2.1-3'!$D$168</f>
        <v>[tys. zł/szt.]</v>
      </c>
      <c r="E184" s="153" t="str">
        <v/>
      </c>
      <c r="F184" s="876"/>
      <c r="G184" s="876"/>
      <c r="H184" s="878"/>
      <c r="I184" s="876"/>
      <c r="J184" s="869"/>
      <c r="K184" s="869"/>
    </row>
    <row r="185" spans="1:11" ht="18.899999999999999" customHeight="1">
      <c r="A185" s="878"/>
      <c r="B185" s="642" t="str">
        <v>51</v>
      </c>
      <c r="C185" s="339" t="s">
        <v>174</v>
      </c>
      <c r="D185" s="8" t="str">
        <f>'Tab.G2.1-3'!$D$168</f>
        <v>[tys. zł/szt.]</v>
      </c>
      <c r="E185" s="154" t="str">
        <v/>
      </c>
      <c r="F185" s="876"/>
      <c r="G185" s="876"/>
      <c r="H185" s="878"/>
      <c r="I185" s="876"/>
      <c r="J185" s="869"/>
      <c r="K185" s="869"/>
    </row>
    <row r="186" spans="1:11" ht="18.899999999999999" customHeight="1">
      <c r="A186" s="878"/>
      <c r="B186" s="643" t="str">
        <v>52</v>
      </c>
      <c r="C186" s="13" t="s">
        <v>134</v>
      </c>
      <c r="D186" s="9" t="str">
        <f>'Tab.G2.1-3'!$D$168</f>
        <v>[tys. zł/szt.]</v>
      </c>
      <c r="E186" s="155" t="str">
        <v/>
      </c>
      <c r="F186" s="876"/>
      <c r="G186" s="876"/>
      <c r="H186" s="878"/>
      <c r="I186" s="876"/>
      <c r="J186" s="869"/>
      <c r="K186" s="869"/>
    </row>
    <row r="187" spans="1:11" ht="18.899999999999999" customHeight="1">
      <c r="A187" s="878"/>
      <c r="B187" s="640" t="str">
        <v>53</v>
      </c>
      <c r="C187" s="266" t="s">
        <v>35</v>
      </c>
      <c r="D187" s="6" t="str">
        <f>'Tab.G2.1-3'!$D$168</f>
        <v>[tys. zł/szt.]</v>
      </c>
      <c r="E187" s="152" t="str">
        <v/>
      </c>
      <c r="F187" s="876"/>
      <c r="G187" s="876"/>
      <c r="H187" s="878"/>
      <c r="I187" s="876"/>
      <c r="J187" s="869"/>
      <c r="K187" s="869"/>
    </row>
    <row r="188" spans="1:11" ht="18.899999999999999" customHeight="1">
      <c r="A188" s="878"/>
      <c r="B188" s="645" t="str">
        <v>54</v>
      </c>
      <c r="C188" s="269" t="s">
        <v>33</v>
      </c>
      <c r="D188" s="270" t="str">
        <f>'Tab.G2.1-3'!$D$168</f>
        <v>[tys. zł/szt.]</v>
      </c>
      <c r="E188" s="271" t="str">
        <v/>
      </c>
      <c r="F188" s="876"/>
      <c r="G188" s="876"/>
      <c r="H188" s="878"/>
      <c r="I188" s="876"/>
      <c r="J188" s="869"/>
      <c r="K188" s="869"/>
    </row>
    <row r="189" spans="1:11" ht="18.899999999999999" customHeight="1">
      <c r="A189" s="878"/>
      <c r="B189" s="643" t="str">
        <v>55</v>
      </c>
      <c r="C189" s="13" t="s">
        <v>135</v>
      </c>
      <c r="D189" s="9" t="str">
        <f>'Tab.G2.1-3'!$D$168</f>
        <v>[tys. zł/szt.]</v>
      </c>
      <c r="E189" s="155" t="str">
        <v/>
      </c>
      <c r="F189" s="876"/>
      <c r="G189" s="876"/>
      <c r="H189" s="878"/>
      <c r="I189" s="876"/>
      <c r="J189" s="869"/>
      <c r="K189" s="869"/>
    </row>
    <row r="190" spans="1:11" ht="18.899999999999999" customHeight="1">
      <c r="A190" s="878"/>
      <c r="B190" s="640" t="str">
        <v>56</v>
      </c>
      <c r="C190" s="266" t="s">
        <v>35</v>
      </c>
      <c r="D190" s="6" t="str">
        <f>'Tab.G2.1-3'!$D$168</f>
        <v>[tys. zł/szt.]</v>
      </c>
      <c r="E190" s="152" t="str">
        <v/>
      </c>
      <c r="F190" s="876"/>
      <c r="G190" s="876"/>
      <c r="H190" s="878"/>
      <c r="I190" s="876"/>
      <c r="J190" s="869"/>
      <c r="K190" s="869"/>
    </row>
    <row r="191" spans="1:11" ht="18.899999999999999" customHeight="1">
      <c r="A191" s="878"/>
      <c r="B191" s="645" t="str">
        <v>57</v>
      </c>
      <c r="C191" s="269" t="s">
        <v>33</v>
      </c>
      <c r="D191" s="270" t="str">
        <f>'Tab.G2.1-3'!$D$168</f>
        <v>[tys. zł/szt.]</v>
      </c>
      <c r="E191" s="271" t="str">
        <v/>
      </c>
      <c r="F191" s="876"/>
      <c r="G191" s="876"/>
      <c r="H191" s="878"/>
      <c r="I191" s="876"/>
      <c r="J191" s="869"/>
      <c r="K191" s="869"/>
    </row>
    <row r="192" spans="1:11" ht="18.899999999999999" customHeight="1" thickBot="1">
      <c r="A192" s="878"/>
      <c r="B192" s="648" t="str">
        <v>58</v>
      </c>
      <c r="C192" s="16" t="s">
        <v>136</v>
      </c>
      <c r="D192" s="17" t="str">
        <f>'Tab.G2.1-3'!$D$168</f>
        <v>[tys. zł/szt.]</v>
      </c>
      <c r="E192" s="157" t="str">
        <v/>
      </c>
      <c r="F192" s="876"/>
      <c r="G192" s="876"/>
      <c r="H192" s="878"/>
      <c r="I192" s="876"/>
      <c r="J192" s="869"/>
      <c r="K192" s="869"/>
    </row>
    <row r="193" spans="1:11" ht="15">
      <c r="A193" s="875"/>
      <c r="B193" s="878"/>
      <c r="C193" s="877"/>
      <c r="D193" s="887"/>
      <c r="E193" s="876"/>
      <c r="F193" s="876"/>
      <c r="G193" s="876"/>
      <c r="H193" s="878"/>
      <c r="I193" s="876"/>
      <c r="J193" s="869"/>
      <c r="K193" s="869"/>
    </row>
    <row r="194" spans="1:11" ht="15">
      <c r="A194" s="875"/>
      <c r="B194" s="878"/>
      <c r="C194" s="877"/>
      <c r="D194" s="887"/>
      <c r="E194" s="876"/>
      <c r="F194" s="876"/>
      <c r="G194" s="876"/>
      <c r="H194" s="878"/>
      <c r="I194" s="876"/>
      <c r="J194" s="869"/>
      <c r="K194" s="869"/>
    </row>
    <row r="195" spans="1:11" ht="15">
      <c r="A195" s="875"/>
      <c r="B195" s="878"/>
      <c r="C195" s="877"/>
      <c r="D195" s="887"/>
      <c r="E195" s="876"/>
      <c r="F195" s="876"/>
      <c r="G195" s="876"/>
      <c r="H195" s="878"/>
      <c r="I195" s="876"/>
      <c r="J195" s="869"/>
      <c r="K195" s="869"/>
    </row>
    <row r="196" spans="1:11" ht="15">
      <c r="A196" s="31"/>
      <c r="B196" s="142"/>
      <c r="C196" s="141"/>
      <c r="D196" s="143"/>
      <c r="E196" s="87"/>
      <c r="F196" s="87"/>
      <c r="G196" s="87"/>
      <c r="H196" s="142"/>
      <c r="I196" s="87"/>
    </row>
    <row r="197" spans="1:11" ht="15">
      <c r="A197" s="31"/>
      <c r="B197" s="142"/>
      <c r="C197" s="141"/>
      <c r="D197" s="143"/>
      <c r="E197" s="87"/>
      <c r="F197" s="87"/>
      <c r="G197" s="87"/>
      <c r="H197" s="142"/>
      <c r="I197" s="87"/>
    </row>
    <row r="198" spans="1:11" ht="15">
      <c r="A198" s="31"/>
      <c r="B198" s="142"/>
      <c r="C198" s="141"/>
      <c r="D198" s="143"/>
      <c r="E198" s="87"/>
      <c r="F198" s="87"/>
      <c r="G198" s="87"/>
      <c r="H198" s="142"/>
      <c r="I198" s="87"/>
    </row>
    <row r="199" spans="1:11" ht="15">
      <c r="A199" s="31"/>
      <c r="B199" s="142"/>
      <c r="C199" s="141"/>
      <c r="D199" s="143"/>
      <c r="E199" s="87"/>
      <c r="F199" s="87"/>
      <c r="G199" s="87"/>
      <c r="H199" s="142"/>
      <c r="I199" s="87"/>
    </row>
    <row r="200" spans="1:11" ht="15">
      <c r="A200" s="31"/>
      <c r="B200" s="142"/>
      <c r="C200" s="141"/>
      <c r="D200" s="143"/>
      <c r="E200" s="87"/>
      <c r="F200" s="87"/>
      <c r="G200" s="87"/>
      <c r="H200" s="142"/>
      <c r="I200" s="87"/>
    </row>
    <row r="201" spans="1:11" ht="15">
      <c r="A201" s="31"/>
      <c r="B201" s="142"/>
      <c r="C201" s="141"/>
      <c r="D201" s="143"/>
      <c r="E201" s="87"/>
      <c r="F201" s="87"/>
      <c r="G201" s="87"/>
      <c r="H201" s="142"/>
      <c r="I201" s="87"/>
    </row>
    <row r="202" spans="1:11" ht="15">
      <c r="A202" s="31"/>
      <c r="B202" s="142"/>
      <c r="C202" s="141"/>
      <c r="D202" s="143"/>
      <c r="E202" s="87"/>
      <c r="F202" s="87"/>
      <c r="G202" s="87"/>
      <c r="H202" s="142"/>
      <c r="I202" s="87"/>
    </row>
    <row r="203" spans="1:11" ht="15">
      <c r="A203" s="31"/>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ht="15">
      <c r="A1765" s="142"/>
      <c r="B1765" s="142"/>
      <c r="C1765" s="140"/>
      <c r="D1765" s="143"/>
      <c r="E1765" s="87"/>
      <c r="F1765" s="87"/>
      <c r="G1765" s="87"/>
      <c r="H1765" s="142"/>
      <c r="I1765" s="87"/>
    </row>
    <row r="1766" spans="1:9" ht="15">
      <c r="A1766" s="142"/>
      <c r="B1766" s="142"/>
      <c r="C1766" s="140"/>
      <c r="D1766" s="143"/>
      <c r="E1766" s="87"/>
      <c r="F1766" s="87"/>
      <c r="G1766" s="87"/>
      <c r="H1766" s="142"/>
      <c r="I1766" s="87"/>
    </row>
    <row r="1767" spans="1:9" ht="15">
      <c r="A1767" s="142"/>
      <c r="B1767" s="31"/>
      <c r="C1767" s="140"/>
      <c r="D1767" s="143"/>
      <c r="E1767" s="87"/>
      <c r="F1767" s="87"/>
      <c r="G1767" s="87"/>
      <c r="H1767" s="142"/>
      <c r="I1767" s="87"/>
    </row>
    <row r="1768" spans="1:9" ht="15">
      <c r="A1768" s="142"/>
      <c r="B1768" s="31"/>
      <c r="C1768" s="140"/>
      <c r="D1768" s="143"/>
      <c r="E1768" s="87"/>
      <c r="F1768" s="87"/>
      <c r="G1768" s="87"/>
      <c r="H1768" s="142"/>
      <c r="I1768" s="87"/>
    </row>
    <row r="1769" spans="1:9" ht="15">
      <c r="A1769" s="142"/>
      <c r="B1769" s="31"/>
      <c r="C1769" s="140"/>
      <c r="D1769" s="143"/>
      <c r="E1769" s="87"/>
      <c r="F1769" s="87"/>
      <c r="G1769" s="87"/>
      <c r="H1769" s="142"/>
      <c r="I1769" s="87"/>
    </row>
    <row r="1770" spans="1:9" ht="15">
      <c r="A1770" s="142"/>
      <c r="B1770" s="31"/>
      <c r="C1770" s="140"/>
      <c r="D1770" s="143"/>
      <c r="E1770" s="87"/>
      <c r="F1770" s="87"/>
      <c r="G1770" s="87"/>
      <c r="H1770" s="142"/>
      <c r="I1770" s="87"/>
    </row>
    <row r="1771" spans="1:9">
      <c r="A1771" s="142"/>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ht="15">
      <c r="A1782" s="31"/>
      <c r="H1782" s="31"/>
      <c r="I1782" s="87"/>
    </row>
    <row r="1783" spans="1:9" ht="15">
      <c r="A1783" s="31"/>
      <c r="H1783" s="31"/>
      <c r="I1783" s="87"/>
    </row>
    <row r="1784" spans="1:9" ht="15">
      <c r="A1784" s="31"/>
      <c r="H1784" s="31"/>
      <c r="I1784" s="87"/>
    </row>
    <row r="1785" spans="1:9" ht="15">
      <c r="A1785" s="31"/>
      <c r="H1785" s="31"/>
      <c r="I1785" s="87"/>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xr:uid="{00000000-0004-0000-08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Nazwane zakresy</vt:lpstr>
      </vt:variant>
      <vt:variant>
        <vt:i4>57</vt:i4>
      </vt:variant>
    </vt:vector>
  </HeadingPairs>
  <TitlesOfParts>
    <vt:vector size="91" baseType="lpstr">
      <vt:lpstr>Wstęp</vt:lpstr>
      <vt:lpstr>Spis</vt:lpstr>
      <vt:lpstr>Tab.G1.1-4</vt:lpstr>
      <vt:lpstr>Tab.G2.1-3</vt:lpstr>
      <vt:lpstr>Tab.G2.1E-6E</vt:lpstr>
      <vt:lpstr>Tab.G3.1-5</vt:lpstr>
      <vt:lpstr>Tab.G3.1E-5E</vt:lpstr>
      <vt:lpstr>Tab.G4.1-3</vt:lpstr>
      <vt:lpstr>Tab.G5.1-3</vt:lpstr>
      <vt:lpstr>Tab.G5.1E-3E</vt:lpstr>
      <vt:lpstr>Tab.G6</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Robert Tułowiecki</cp:lastModifiedBy>
  <cp:lastPrinted>2009-08-07T14:45:53Z</cp:lastPrinted>
  <dcterms:created xsi:type="dcterms:W3CDTF">1999-03-05T12:48:48Z</dcterms:created>
  <dcterms:modified xsi:type="dcterms:W3CDTF">2021-03-17T11:15:54Z</dcterms:modified>
</cp:coreProperties>
</file>